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60" yWindow="6520" windowWidth="22180" windowHeight="10240" activeTab="0"/>
  </bookViews>
  <sheets>
    <sheet name="TITLE Page" sheetId="1" r:id="rId1"/>
    <sheet name="Capital Investment Calculator" sheetId="2" r:id="rId2"/>
    <sheet name="Tables" sheetId="3" r:id="rId3"/>
  </sheets>
  <definedNames>
    <definedName name="_xlnm.Print_Area" localSheetId="1">'Capital Investment Calculator'!$A$1:$K$62</definedName>
    <definedName name="_xlnm.Print_Area" localSheetId="2">'Tables'!$A$28:$J$63</definedName>
  </definedNames>
  <calcPr fullCalcOnLoad="1"/>
</workbook>
</file>

<file path=xl/sharedStrings.xml><?xml version="1.0" encoding="utf-8"?>
<sst xmlns="http://schemas.openxmlformats.org/spreadsheetml/2006/main" count="250" uniqueCount="149">
  <si>
    <t>==============================================================</t>
  </si>
  <si>
    <t>VALUE</t>
  </si>
  <si>
    <t>*** CAPITAL COST AND LOAN INFORMATION ***</t>
  </si>
  <si>
    <t>____________</t>
  </si>
  <si>
    <t>150% DEPRECIATION RATE</t>
  </si>
  <si>
    <t>1.YEAR PURCHASED ?______________________________________</t>
  </si>
  <si>
    <t>PAYMENT</t>
  </si>
  <si>
    <t>--------------------------------------------</t>
  </si>
  <si>
    <t>-----------------------------------------------------</t>
  </si>
  <si>
    <t>2.CASH PURCHASE PRICE ? _______________________________</t>
  </si>
  <si>
    <t xml:space="preserve">   YEAR</t>
  </si>
  <si>
    <t>PRINC.</t>
  </si>
  <si>
    <t>INT</t>
  </si>
  <si>
    <t>3-YR</t>
  </si>
  <si>
    <t>5-YR</t>
  </si>
  <si>
    <t>7-YR</t>
  </si>
  <si>
    <t>10-yr</t>
  </si>
  <si>
    <t xml:space="preserve">  20-yr</t>
  </si>
  <si>
    <t xml:space="preserve"> 3-YR</t>
  </si>
  <si>
    <t xml:space="preserve"> 5-YR</t>
  </si>
  <si>
    <t xml:space="preserve">  ADS-SL</t>
  </si>
  <si>
    <t>3.ORIGINAL COST BASIS OF ITEM PURCHASED ? ______________</t>
  </si>
  <si>
    <t>*** INCOME TAX INFORMATION ***</t>
  </si>
  <si>
    <t>11.MARGINAL INCOME TAX RATE? (Fed,State, &amp; Soc Sec)__________</t>
  </si>
  <si>
    <t>12."MACRS" PROPERTY CLASS ? (3,5,7,10,or 20yrs) __________</t>
  </si>
  <si>
    <t>13."ADS-SL" YEARS ? (3,5,7,10,15,20,or 25yrs)___________</t>
  </si>
  <si>
    <t>14.DEPRECIATION METHOD ? (1=MACRS or 2=ADS-SL) _______________</t>
  </si>
  <si>
    <t>16.OPPORTUNITY COST OF CAPITAL ? ________________________</t>
  </si>
  <si>
    <t>========================================================================</t>
  </si>
  <si>
    <t xml:space="preserve">   CASH OUTFLOW</t>
  </si>
  <si>
    <t>NPV</t>
  </si>
  <si>
    <t xml:space="preserve"> </t>
  </si>
  <si>
    <t>PRINCI-</t>
  </si>
  <si>
    <t xml:space="preserve">INCOME </t>
  </si>
  <si>
    <t xml:space="preserve">   ------------</t>
  </si>
  <si>
    <t>AFTER-TAX</t>
  </si>
  <si>
    <t>PAL</t>
  </si>
  <si>
    <t>INTEREST</t>
  </si>
  <si>
    <t>DEPRECI-</t>
  </si>
  <si>
    <t>TAX</t>
  </si>
  <si>
    <t>BEFORE</t>
  </si>
  <si>
    <t>AFTER</t>
  </si>
  <si>
    <t>CASH</t>
  </si>
  <si>
    <t>YEAR</t>
  </si>
  <si>
    <t>ATION</t>
  </si>
  <si>
    <t>SAVINGS</t>
  </si>
  <si>
    <t>------------</t>
  </si>
  <si>
    <t>TOTAL</t>
  </si>
  <si>
    <t>==========================================================================</t>
  </si>
  <si>
    <t>15. Additional First Year Depreciation (179,30%,50%) for Purchase Option</t>
  </si>
  <si>
    <t>"MACRS" Property Class? (3,5,7,10,or 20yrs)</t>
  </si>
  <si>
    <t>Depreciation Method ? (1=MACRS or 2=ADS-SL)</t>
  </si>
  <si>
    <t>"ADS-SL" Years? (3,5,7,10,15,20,or 25yrs)</t>
  </si>
  <si>
    <t>Year Purchased?</t>
  </si>
  <si>
    <t>Loan Terms in Years? (20 years or less)</t>
  </si>
  <si>
    <t>OUTFLOW</t>
  </si>
  <si>
    <t>NET PRESENT VALUE AFTER TAX NET CASH FLOW &gt;&gt;&gt;&gt;&gt;</t>
  </si>
  <si>
    <t>Life of System in Years and Assumptions? (25 years or less)</t>
  </si>
  <si>
    <t>TABLE 1.  PURCHASE AND INCOME TAX INPUT INFORMATION</t>
  </si>
  <si>
    <t>CAPITAL PURCHASE ANALYSIS -  25 YEARS OR LESS</t>
  </si>
  <si>
    <t>CAPITAL ITEM:</t>
  </si>
  <si>
    <t>LAST YEAR OF INVESTMENT</t>
  </si>
  <si>
    <t>TABLE 2.  CASH FLOW FOR THE PURCHASE OF THE :</t>
  </si>
  <si>
    <t>G. MARGIN</t>
  </si>
  <si>
    <t>WEIGHTED</t>
  </si>
  <si>
    <t>DEPRECIATION AMOUNT FOR THE PURCHASE</t>
  </si>
  <si>
    <t>Annual Interest Rate for Borrowed money?</t>
  </si>
  <si>
    <t>Salvage Value of Investment at End of Evaluated Time Period?</t>
  </si>
  <si>
    <t>SALVAGE</t>
  </si>
  <si>
    <t>1-margin tax braket x 8 opportunity cost</t>
  </si>
  <si>
    <t>A negative NPV indicates a return less than the desired opportunity cost of capital</t>
  </si>
  <si>
    <t>4. SIZE OF LOAN</t>
  </si>
  <si>
    <t>5.ANNUAL INTEREST RATE ON LOAN ? (.102 = 10.2%)___________________</t>
  </si>
  <si>
    <t>6.LOAN TERM IN YEARS ? (20 years or less) ______________</t>
  </si>
  <si>
    <t>7.LIFE OF INVESTMENT? 25 years or less</t>
  </si>
  <si>
    <t>Beg Value</t>
  </si>
  <si>
    <t>17 After Tax Opportunity Cost of Capital</t>
  </si>
  <si>
    <t>Beginning</t>
  </si>
  <si>
    <t>Amount of Purchase Price Borrowed?</t>
  </si>
  <si>
    <t>Net Present Value Discounted After Tax Cash Flow =</t>
  </si>
  <si>
    <t>Before Tax</t>
  </si>
  <si>
    <t>After Tax</t>
  </si>
  <si>
    <t>Internal Rate of Return Before Tax</t>
  </si>
  <si>
    <t>Internal Rate of Return After Tax</t>
  </si>
  <si>
    <t>IRR</t>
  </si>
  <si>
    <t>Roger Betz, Senior Farm Management Educator</t>
  </si>
  <si>
    <t>Michigan State University Extension</t>
  </si>
  <si>
    <t>Marginal Income Tax Rate? (Fed, State, &amp; Soc Sec)</t>
  </si>
  <si>
    <t xml:space="preserve">A Positive NPV indicates that the investment (over the life of the investment) returned higher than the desired opportunity cost of capital </t>
  </si>
  <si>
    <t>Additional First Year Depreciation? (Sec179 or Bonus)</t>
  </si>
  <si>
    <t>_________________________________</t>
  </si>
  <si>
    <t>Negative Effects:</t>
  </si>
  <si>
    <t>$________</t>
  </si>
  <si>
    <t>Total Negative Effects</t>
  </si>
  <si>
    <t>Total Positive Effects</t>
  </si>
  <si>
    <t>_______________________________________________________________________________</t>
  </si>
  <si>
    <t>State</t>
  </si>
  <si>
    <t>This value should include: 1. the desired Return on Assets, and 2. a Risk Premium</t>
  </si>
  <si>
    <t xml:space="preserve">NPV = </t>
  </si>
  <si>
    <t>Greenhouse Capital Investment Calculator</t>
  </si>
  <si>
    <t>Increased Units</t>
  </si>
  <si>
    <t>Higher Quality</t>
  </si>
  <si>
    <t>Energy Savings</t>
  </si>
  <si>
    <t>Less Repairs</t>
  </si>
  <si>
    <t>More Labor</t>
  </si>
  <si>
    <t>Less Product Produced/Sold</t>
  </si>
  <si>
    <t>Opportunity Cost Rate</t>
  </si>
  <si>
    <t>Increased Maintenance</t>
  </si>
  <si>
    <t>Higher Cost Labor per hour</t>
  </si>
  <si>
    <t>Total System Cost</t>
  </si>
  <si>
    <t>Less Freight</t>
  </si>
  <si>
    <t>Less Labor 1</t>
  </si>
  <si>
    <t>Less Labor 2</t>
  </si>
  <si>
    <t>Less Labor 3</t>
  </si>
  <si>
    <t>*** CAPITAL COST &amp; LOAN INFORMATION ***</t>
  </si>
  <si>
    <t>*** PARTIAL BUDGET of INVESTMENT ***</t>
  </si>
  <si>
    <r>
      <t xml:space="preserve"> </t>
    </r>
    <r>
      <rPr>
        <b/>
        <sz val="8"/>
        <rFont val="Arial"/>
        <family val="2"/>
      </rPr>
      <t>(Do not include capital cost, loan information or income tax considerations here)</t>
    </r>
  </si>
  <si>
    <t>Annual Net Gain or Loss from Investment</t>
  </si>
  <si>
    <t>Purchase Price?</t>
  </si>
  <si>
    <t>Installation Cost?</t>
  </si>
  <si>
    <t>One Time "Special Training/Start Up" Cost?</t>
  </si>
  <si>
    <t>Additional Returns ? (annualized)</t>
  </si>
  <si>
    <t>Additional Cost ? (annualized)</t>
  </si>
  <si>
    <t>Reduced Returns ? (annualized)</t>
  </si>
  <si>
    <t>Reduced Cost ? (annualized)</t>
  </si>
  <si>
    <t>Comments ?:</t>
  </si>
  <si>
    <t>Less Shrink</t>
  </si>
  <si>
    <t>Work Comp Insurance Savings</t>
  </si>
  <si>
    <t>Higher Management Cost</t>
  </si>
  <si>
    <t>Repayment Years</t>
  </si>
  <si>
    <t>Positive Effects:</t>
  </si>
  <si>
    <t>Example: Change Green cells</t>
  </si>
  <si>
    <t>Version 12-11-13</t>
  </si>
  <si>
    <t>Soil Media savings</t>
  </si>
  <si>
    <t>Less Plant Loss</t>
  </si>
  <si>
    <t>More Insurance</t>
  </si>
  <si>
    <t>More Property Taxes</t>
  </si>
  <si>
    <t>Increased Variable Inputs</t>
  </si>
  <si>
    <t>Increase in Energy cost</t>
  </si>
  <si>
    <t xml:space="preserve">Lower Quality </t>
  </si>
  <si>
    <t>Lower price</t>
  </si>
  <si>
    <t>Higher cull rate</t>
  </si>
  <si>
    <t>Lower cost to purchase inputs</t>
  </si>
  <si>
    <t>Soc Security</t>
  </si>
  <si>
    <t>Federal</t>
  </si>
  <si>
    <t>Opportunity Cost of Capital Rate?</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</si>
  <si>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Ray Hammerschmidt, Director, MSU Extension, East Lansing, MI 48824. This information is for educational purposes only. Reference to commercial products or trade names does not imply endorsement by MSU Extension or bias against those not mentioned.</t>
  </si>
  <si>
    <t>FIRM Fact Sheet 13-10</t>
  </si>
  <si>
    <r>
      <t>MSUE Greenhouse Capital Investment Calculator</t>
    </r>
    <r>
      <rPr>
        <sz val="14"/>
        <color indexed="8"/>
        <rFont val="Calibri"/>
        <family val="0"/>
      </rPr>
      <t>© 2015 Michigan State University Board of Trustees. 4-H and other Cooperative Extension System groups and other nonprofit educational groups may print hard copies of this material for noncommercial, educational use, provided that attribution is given to Michigan State University Extension. All other rights reserved. For information, contact MSU Extension, 108 Agriculture Hall, 446 West Circle Drive, East Lansing, MI 48824.</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</si>
</sst>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
    <numFmt numFmtId="174" formatCode="0.00_)"/>
    <numFmt numFmtId="175" formatCode="0_);\(0\)"/>
    <numFmt numFmtId="176" formatCode="0.0_);\(0.0\)"/>
    <numFmt numFmtId="177" formatCode="0.00_);\(0.00\)"/>
    <numFmt numFmtId="178" formatCode="&quot;$&quot;#,##0.0_);\(&quot;$&quot;#,##0.0\)"/>
    <numFmt numFmtId="179" formatCode="0.000%"/>
    <numFmt numFmtId="180" formatCode="0.0000%"/>
    <numFmt numFmtId="181" formatCode="0.00000%"/>
    <numFmt numFmtId="182" formatCode="0.000000%"/>
    <numFmt numFmtId="183" formatCode="0.0000000%"/>
    <numFmt numFmtId="184" formatCode="&quot;$&quot;#,##0.0000"/>
    <numFmt numFmtId="185" formatCode="&quot;$&quot;#,##0.000_);\(&quot;$&quot;#,##0.000\)"/>
    <numFmt numFmtId="186" formatCode="_(* #,##0.0_);_(* \(#,##0.0\);_(* &quot;-&quot;??_);_(@_)"/>
    <numFmt numFmtId="187" formatCode="_(* #,##0_);_(* \(#,##0\);_(* &quot;-&quot;??_);_(@_)"/>
    <numFmt numFmtId="188" formatCode="&quot;$&quot;#,##0.0000_);\(&quot;$&quot;#,##0.0000\)"/>
    <numFmt numFmtId="189" formatCode="_(* #,##0.000_);_(* \(#,##0.000\);_(* &quot;-&quot;??_);_(@_)"/>
    <numFmt numFmtId="190" formatCode="_(* #,##0.0000_);_(* \(#,##0.0000\);_(* &quot;-&quot;??_);_(@_)"/>
    <numFmt numFmtId="191" formatCode="&quot;$&quot;#,##0.000"/>
  </numFmts>
  <fonts count="52">
    <font>
      <sz val="10"/>
      <name val="Arial"/>
      <family val="0"/>
    </font>
    <font>
      <sz val="11"/>
      <color indexed="8"/>
      <name val="Calibri"/>
      <family val="2"/>
    </font>
    <font>
      <b/>
      <sz val="18"/>
      <name val="Arial"/>
      <family val="2"/>
    </font>
    <font>
      <b/>
      <sz val="12"/>
      <name val="Arial"/>
      <family val="2"/>
    </font>
    <font>
      <b/>
      <sz val="10"/>
      <name val="Arial"/>
      <family val="2"/>
    </font>
    <font>
      <sz val="8"/>
      <name val="Arial"/>
      <family val="2"/>
    </font>
    <font>
      <u val="single"/>
      <sz val="10"/>
      <name val="Arial"/>
      <family val="2"/>
    </font>
    <font>
      <b/>
      <u val="single"/>
      <sz val="10"/>
      <name val="Arial"/>
      <family val="2"/>
    </font>
    <font>
      <sz val="10"/>
      <color indexed="12"/>
      <name val="Arial"/>
      <family val="2"/>
    </font>
    <font>
      <b/>
      <sz val="12"/>
      <color indexed="12"/>
      <name val="Arial"/>
      <family val="2"/>
    </font>
    <font>
      <b/>
      <sz val="11"/>
      <color indexed="12"/>
      <name val="Arial"/>
      <family val="2"/>
    </font>
    <font>
      <b/>
      <sz val="11"/>
      <name val="Arial"/>
      <family val="2"/>
    </font>
    <font>
      <b/>
      <sz val="14"/>
      <name val="Arial"/>
      <family val="2"/>
    </font>
    <font>
      <u val="single"/>
      <sz val="10"/>
      <color indexed="12"/>
      <name val="Arial"/>
      <family val="2"/>
    </font>
    <font>
      <sz val="18"/>
      <name val="Arial"/>
      <family val="2"/>
    </font>
    <font>
      <b/>
      <u val="single"/>
      <sz val="11"/>
      <name val="Arial"/>
      <family val="2"/>
    </font>
    <font>
      <b/>
      <sz val="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20"/>
      <name val="Arial"/>
      <family val="0"/>
    </font>
    <font>
      <sz val="12"/>
      <name val="Arial"/>
      <family val="0"/>
    </font>
    <font>
      <i/>
      <sz val="14"/>
      <color indexed="8"/>
      <name val="Calibri"/>
      <family val="0"/>
    </font>
    <font>
      <sz val="14"/>
      <color indexed="8"/>
      <name val="Calibri"/>
      <family val="0"/>
    </font>
    <font>
      <b/>
      <sz val="24"/>
      <name val="Times New Roman"/>
      <family val="0"/>
    </font>
    <font>
      <sz val="24"/>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i/>
      <sz val="14"/>
      <color rgb="FF000000"/>
      <name val="Calibri"/>
      <family val="0"/>
    </font>
    <font>
      <sz val="14"/>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medium"/>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thin"/>
      <top style="hair"/>
      <bottom style="hair"/>
    </border>
    <border>
      <left style="thin"/>
      <right>
        <color indexed="63"/>
      </right>
      <top>
        <color indexed="63"/>
      </top>
      <bottom style="thin"/>
    </border>
    <border>
      <left style="hair"/>
      <right style="thin"/>
      <top style="hair"/>
      <bottom style="thin"/>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lignment/>
      <protection/>
    </xf>
    <xf numFmtId="166" fontId="0" fillId="0" borderId="0">
      <alignment/>
      <protection/>
    </xf>
    <xf numFmtId="168" fontId="0" fillId="0" borderId="0" applyFont="0" applyFill="0" applyBorder="0" applyAlignment="0" applyProtection="0"/>
    <xf numFmtId="164" fontId="0" fillId="0" borderId="0">
      <alignment/>
      <protection/>
    </xf>
    <xf numFmtId="14" fontId="0" fillId="0" borderId="0">
      <alignment/>
      <protection/>
    </xf>
    <xf numFmtId="0" fontId="41" fillId="0" borderId="0" applyNumberFormat="0" applyFill="0" applyBorder="0" applyAlignment="0" applyProtection="0"/>
    <xf numFmtId="2" fontId="0" fillId="0" borderId="0">
      <alignment/>
      <protection/>
    </xf>
    <xf numFmtId="0" fontId="42" fillId="29" borderId="0" applyNumberFormat="0" applyBorder="0" applyAlignment="0" applyProtection="0"/>
    <xf numFmtId="0" fontId="2" fillId="0" borderId="0">
      <alignment/>
      <protection/>
    </xf>
    <xf numFmtId="0" fontId="3" fillId="0" borderId="0">
      <alignment/>
      <protection/>
    </xf>
    <xf numFmtId="0" fontId="43"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4" applyNumberFormat="0" applyFill="0" applyAlignment="0" applyProtection="0"/>
    <xf numFmtId="0" fontId="46" fillId="31" borderId="0" applyNumberFormat="0" applyBorder="0" applyAlignment="0" applyProtection="0"/>
    <xf numFmtId="0" fontId="0" fillId="32" borderId="5" applyNumberFormat="0" applyFont="0" applyAlignment="0" applyProtection="0"/>
    <xf numFmtId="0" fontId="47" fillId="27" borderId="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0" borderId="7">
      <alignment/>
      <protection/>
    </xf>
    <xf numFmtId="0" fontId="49" fillId="0" borderId="0" applyNumberFormat="0" applyFill="0" applyBorder="0" applyAlignment="0" applyProtection="0"/>
  </cellStyleXfs>
  <cellXfs count="119">
    <xf numFmtId="0" fontId="0" fillId="0" borderId="0" xfId="0" applyAlignment="1">
      <alignment/>
    </xf>
    <xf numFmtId="164" fontId="0" fillId="0" borderId="0" xfId="47">
      <alignment/>
      <protection/>
    </xf>
    <xf numFmtId="173" fontId="0" fillId="0" borderId="0" xfId="0" applyNumberFormat="1" applyAlignment="1">
      <alignment/>
    </xf>
    <xf numFmtId="0" fontId="4" fillId="0" borderId="0" xfId="0" applyFont="1" applyAlignment="1">
      <alignment/>
    </xf>
    <xf numFmtId="0" fontId="0" fillId="0" borderId="0" xfId="0" applyBorder="1" applyAlignment="1">
      <alignment/>
    </xf>
    <xf numFmtId="0" fontId="0" fillId="0" borderId="0" xfId="0" applyFont="1" applyAlignment="1">
      <alignment/>
    </xf>
    <xf numFmtId="0" fontId="3" fillId="0" borderId="0" xfId="0" applyFont="1" applyAlignment="1" applyProtection="1">
      <alignment horizontal="left"/>
      <protection/>
    </xf>
    <xf numFmtId="0" fontId="0" fillId="0" borderId="0" xfId="0" applyFont="1" applyAlignment="1">
      <alignment/>
    </xf>
    <xf numFmtId="0" fontId="0" fillId="0" borderId="0" xfId="0" applyFont="1" applyAlignment="1" applyProtection="1">
      <alignment horizontal="left"/>
      <protection/>
    </xf>
    <xf numFmtId="0" fontId="4"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7" fillId="0" borderId="0" xfId="0" applyFont="1" applyAlignment="1" applyProtection="1">
      <alignment horizontal="left"/>
      <protection/>
    </xf>
    <xf numFmtId="174" fontId="0" fillId="0" borderId="0" xfId="0" applyNumberFormat="1" applyAlignment="1" applyProtection="1">
      <alignment/>
      <protection/>
    </xf>
    <xf numFmtId="0" fontId="0" fillId="0" borderId="0" xfId="0" applyFont="1" applyAlignment="1" applyProtection="1">
      <alignment horizontal="right"/>
      <protection/>
    </xf>
    <xf numFmtId="164" fontId="4" fillId="0" borderId="0" xfId="0" applyNumberFormat="1" applyFont="1" applyAlignment="1" applyProtection="1" quotePrefix="1">
      <alignment horizontal="right"/>
      <protection/>
    </xf>
    <xf numFmtId="0" fontId="0" fillId="0" borderId="0" xfId="0" applyFont="1" applyAlignment="1" applyProtection="1">
      <alignment/>
      <protection/>
    </xf>
    <xf numFmtId="164" fontId="0" fillId="0" borderId="0" xfId="0" applyNumberFormat="1" applyFont="1" applyAlignment="1" applyProtection="1">
      <alignment/>
      <protection/>
    </xf>
    <xf numFmtId="0" fontId="0" fillId="0" borderId="0" xfId="0" applyAlignment="1">
      <alignment horizontal="center"/>
    </xf>
    <xf numFmtId="0" fontId="4" fillId="0" borderId="0" xfId="0" applyFont="1" applyAlignment="1">
      <alignment/>
    </xf>
    <xf numFmtId="164" fontId="0" fillId="0" borderId="0" xfId="47" applyFont="1">
      <alignment/>
      <protection/>
    </xf>
    <xf numFmtId="0" fontId="4" fillId="0" borderId="0" xfId="0" applyFont="1" applyAlignment="1" applyProtection="1">
      <alignment horizontal="left"/>
      <protection/>
    </xf>
    <xf numFmtId="0" fontId="0" fillId="0" borderId="0" xfId="0" applyFont="1" applyAlignment="1">
      <alignment horizontal="center"/>
    </xf>
    <xf numFmtId="0" fontId="0" fillId="0" borderId="0" xfId="0" applyFont="1" applyAlignment="1" applyProtection="1">
      <alignment horizontal="left"/>
      <protection/>
    </xf>
    <xf numFmtId="0" fontId="0" fillId="0" borderId="0" xfId="0" applyFont="1" applyAlignment="1">
      <alignment/>
    </xf>
    <xf numFmtId="0" fontId="0" fillId="0" borderId="0" xfId="0" applyFont="1" applyAlignment="1" applyProtection="1">
      <alignment horizontal="left"/>
      <protection/>
    </xf>
    <xf numFmtId="0" fontId="0" fillId="0" borderId="0" xfId="0" applyFont="1" applyAlignment="1">
      <alignment horizontal="left"/>
    </xf>
    <xf numFmtId="164" fontId="4" fillId="0" borderId="0" xfId="0" applyNumberFormat="1" applyFont="1" applyAlignment="1" applyProtection="1" quotePrefix="1">
      <alignment horizontal="center"/>
      <protection/>
    </xf>
    <xf numFmtId="164" fontId="12" fillId="0" borderId="8" xfId="0" applyNumberFormat="1" applyFont="1" applyBorder="1" applyAlignment="1" applyProtection="1">
      <alignment/>
      <protection/>
    </xf>
    <xf numFmtId="164" fontId="3" fillId="0" borderId="9" xfId="0" applyNumberFormat="1" applyFont="1" applyBorder="1" applyAlignment="1">
      <alignment/>
    </xf>
    <xf numFmtId="0" fontId="5" fillId="0" borderId="0" xfId="0" applyFont="1" applyAlignment="1" applyProtection="1">
      <alignment horizontal="left"/>
      <protection/>
    </xf>
    <xf numFmtId="0" fontId="5" fillId="0" borderId="0" xfId="0" applyFont="1" applyFill="1" applyBorder="1" applyAlignment="1" applyProtection="1">
      <alignment horizontal="left"/>
      <protection/>
    </xf>
    <xf numFmtId="167" fontId="0" fillId="0" borderId="0" xfId="0" applyNumberFormat="1" applyAlignment="1" applyProtection="1">
      <alignment/>
      <protection/>
    </xf>
    <xf numFmtId="173" fontId="0" fillId="0" borderId="0" xfId="0" applyNumberFormat="1" applyAlignment="1" applyProtection="1">
      <alignment/>
      <protection/>
    </xf>
    <xf numFmtId="166" fontId="0" fillId="0" borderId="0" xfId="0" applyNumberFormat="1" applyAlignment="1" applyProtection="1">
      <alignment/>
      <protection/>
    </xf>
    <xf numFmtId="166" fontId="0" fillId="0" borderId="0" xfId="56" applyNumberFormat="1" applyFont="1" applyAlignment="1" applyProtection="1">
      <alignment/>
      <protection/>
    </xf>
    <xf numFmtId="166" fontId="0" fillId="0" borderId="0" xfId="0" applyNumberFormat="1" applyAlignment="1">
      <alignment/>
    </xf>
    <xf numFmtId="164" fontId="4" fillId="0" borderId="0" xfId="0" applyNumberFormat="1" applyFont="1" applyAlignment="1" applyProtection="1">
      <alignment horizontal="center"/>
      <protection/>
    </xf>
    <xf numFmtId="164" fontId="0" fillId="0" borderId="0" xfId="0" applyNumberFormat="1" applyFont="1" applyAlignment="1" applyProtection="1" quotePrefix="1">
      <alignment horizontal="center"/>
      <protection/>
    </xf>
    <xf numFmtId="10" fontId="0" fillId="0" borderId="0" xfId="0" applyNumberFormat="1" applyAlignment="1">
      <alignment/>
    </xf>
    <xf numFmtId="0" fontId="6" fillId="0" borderId="0" xfId="0" applyFont="1" applyAlignment="1">
      <alignment horizontal="center"/>
    </xf>
    <xf numFmtId="164" fontId="0" fillId="0" borderId="0" xfId="0" applyNumberFormat="1" applyAlignment="1">
      <alignment/>
    </xf>
    <xf numFmtId="9" fontId="0" fillId="0" borderId="0" xfId="0" applyNumberFormat="1" applyFont="1" applyAlignment="1" applyProtection="1">
      <alignment/>
      <protection/>
    </xf>
    <xf numFmtId="10" fontId="0" fillId="0" borderId="0" xfId="0" applyNumberFormat="1" applyFont="1" applyAlignment="1" applyProtection="1">
      <alignment/>
      <protection/>
    </xf>
    <xf numFmtId="0" fontId="0" fillId="0" borderId="0" xfId="0" applyAlignment="1" applyProtection="1">
      <alignment/>
      <protection locked="0"/>
    </xf>
    <xf numFmtId="173" fontId="0" fillId="0" borderId="0" xfId="0" applyNumberFormat="1" applyAlignment="1" applyProtection="1">
      <alignment/>
      <protection locked="0"/>
    </xf>
    <xf numFmtId="164" fontId="0" fillId="0" borderId="0" xfId="0" applyNumberFormat="1" applyAlignment="1" applyProtection="1">
      <alignment/>
      <protection locked="0"/>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horizontal="center"/>
      <protection/>
    </xf>
    <xf numFmtId="164" fontId="10" fillId="0" borderId="0" xfId="0" applyNumberFormat="1" applyFont="1" applyAlignment="1" applyProtection="1">
      <alignment horizontal="center"/>
      <protection/>
    </xf>
    <xf numFmtId="172" fontId="10" fillId="0" borderId="0" xfId="0" applyNumberFormat="1" applyFont="1" applyAlignment="1" applyProtection="1">
      <alignment horizontal="center"/>
      <protection/>
    </xf>
    <xf numFmtId="0" fontId="11" fillId="0" borderId="0" xfId="0" applyFont="1" applyAlignment="1" applyProtection="1">
      <alignment horizontal="center"/>
      <protection/>
    </xf>
    <xf numFmtId="0" fontId="7" fillId="0" borderId="0" xfId="0" applyFont="1" applyAlignment="1" applyProtection="1">
      <alignment/>
      <protection/>
    </xf>
    <xf numFmtId="10" fontId="0" fillId="0" borderId="0" xfId="0" applyNumberFormat="1" applyAlignment="1" applyProtection="1">
      <alignment/>
      <protection/>
    </xf>
    <xf numFmtId="0" fontId="6" fillId="0" borderId="0" xfId="0" applyFont="1" applyAlignment="1" applyProtection="1">
      <alignment horizontal="center"/>
      <protection/>
    </xf>
    <xf numFmtId="10" fontId="0" fillId="0" borderId="0" xfId="0" applyNumberFormat="1" applyAlignment="1" applyProtection="1">
      <alignment horizontal="center"/>
      <protection/>
    </xf>
    <xf numFmtId="164" fontId="0" fillId="0" borderId="0" xfId="0" applyNumberFormat="1" applyAlignment="1" applyProtection="1">
      <alignment/>
      <protection/>
    </xf>
    <xf numFmtId="0" fontId="14" fillId="0" borderId="0" xfId="0" applyFont="1" applyAlignment="1">
      <alignment/>
    </xf>
    <xf numFmtId="181" fontId="0" fillId="0" borderId="0" xfId="0" applyNumberFormat="1" applyAlignment="1">
      <alignment/>
    </xf>
    <xf numFmtId="183" fontId="0" fillId="0" borderId="0" xfId="62" applyNumberFormat="1" applyFont="1" applyAlignment="1">
      <alignment/>
    </xf>
    <xf numFmtId="172" fontId="3" fillId="0" borderId="0" xfId="0" applyNumberFormat="1" applyFont="1" applyBorder="1" applyAlignment="1">
      <alignment/>
    </xf>
    <xf numFmtId="0" fontId="3" fillId="0" borderId="0" xfId="0" applyFont="1" applyAlignment="1">
      <alignment/>
    </xf>
    <xf numFmtId="0" fontId="8" fillId="0" borderId="0" xfId="0" applyFont="1" applyAlignment="1" applyProtection="1">
      <alignment/>
      <protection locked="0"/>
    </xf>
    <xf numFmtId="0" fontId="0" fillId="0" borderId="10" xfId="0" applyBorder="1" applyAlignment="1">
      <alignment/>
    </xf>
    <xf numFmtId="184" fontId="0" fillId="0" borderId="0" xfId="0" applyNumberFormat="1" applyAlignment="1">
      <alignment/>
    </xf>
    <xf numFmtId="172" fontId="0" fillId="0" borderId="0" xfId="0" applyNumberFormat="1" applyAlignment="1">
      <alignment/>
    </xf>
    <xf numFmtId="175" fontId="0" fillId="33" borderId="8" xfId="45" applyNumberFormat="1" applyFill="1" applyBorder="1" applyAlignment="1" applyProtection="1">
      <alignment horizontal="center"/>
      <protection locked="0"/>
    </xf>
    <xf numFmtId="164" fontId="0" fillId="33" borderId="8" xfId="45" applyNumberFormat="1" applyFill="1" applyBorder="1" applyAlignment="1" applyProtection="1">
      <alignment horizontal="center"/>
      <protection locked="0"/>
    </xf>
    <xf numFmtId="172" fontId="0" fillId="33" borderId="8" xfId="45" applyNumberFormat="1" applyFill="1" applyBorder="1" applyAlignment="1" applyProtection="1">
      <alignment horizontal="center"/>
      <protection locked="0"/>
    </xf>
    <xf numFmtId="176" fontId="0" fillId="33" borderId="8" xfId="45" applyNumberFormat="1" applyFill="1" applyBorder="1" applyAlignment="1" applyProtection="1">
      <alignment horizontal="center"/>
      <protection locked="0"/>
    </xf>
    <xf numFmtId="0" fontId="15" fillId="0" borderId="11" xfId="0" applyFont="1" applyBorder="1" applyAlignment="1">
      <alignment/>
    </xf>
    <xf numFmtId="0" fontId="0" fillId="0" borderId="12" xfId="0" applyBorder="1" applyAlignment="1">
      <alignment/>
    </xf>
    <xf numFmtId="0" fontId="0" fillId="0" borderId="13" xfId="0" applyBorder="1" applyAlignment="1">
      <alignment/>
    </xf>
    <xf numFmtId="0" fontId="8" fillId="0" borderId="14" xfId="0" applyFont="1" applyBorder="1" applyAlignment="1" applyProtection="1">
      <alignment/>
      <protection locked="0"/>
    </xf>
    <xf numFmtId="164" fontId="0" fillId="34" borderId="15" xfId="0" applyNumberFormat="1" applyFont="1" applyFill="1" applyBorder="1" applyAlignment="1" applyProtection="1">
      <alignment/>
      <protection locked="0"/>
    </xf>
    <xf numFmtId="0" fontId="8" fillId="0" borderId="16" xfId="0" applyFont="1" applyBorder="1" applyAlignment="1" applyProtection="1">
      <alignment/>
      <protection locked="0"/>
    </xf>
    <xf numFmtId="164" fontId="0" fillId="34" borderId="17" xfId="0" applyNumberFormat="1" applyFont="1" applyFill="1" applyBorder="1" applyAlignment="1" applyProtection="1">
      <alignment/>
      <protection locked="0"/>
    </xf>
    <xf numFmtId="164" fontId="11" fillId="0" borderId="18" xfId="0" applyNumberFormat="1" applyFont="1" applyBorder="1" applyAlignment="1">
      <alignment/>
    </xf>
    <xf numFmtId="0" fontId="4" fillId="0" borderId="0" xfId="0" applyFont="1" applyAlignment="1" applyProtection="1">
      <alignment horizontal="right"/>
      <protection/>
    </xf>
    <xf numFmtId="0" fontId="4" fillId="0" borderId="0" xfId="0" applyFont="1" applyAlignment="1">
      <alignment horizontal="left"/>
    </xf>
    <xf numFmtId="164" fontId="0" fillId="0" borderId="0" xfId="0" applyNumberFormat="1" applyBorder="1" applyAlignment="1">
      <alignment/>
    </xf>
    <xf numFmtId="0" fontId="0" fillId="0" borderId="0" xfId="0" applyFont="1" applyAlignment="1">
      <alignment horizontal="right"/>
    </xf>
    <xf numFmtId="164" fontId="0" fillId="34" borderId="19"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locked="0"/>
    </xf>
    <xf numFmtId="0" fontId="11" fillId="0" borderId="0" xfId="0" applyFont="1" applyFill="1" applyBorder="1" applyAlignment="1">
      <alignment/>
    </xf>
    <xf numFmtId="164" fontId="11" fillId="0" borderId="0" xfId="0" applyNumberFormat="1" applyFont="1" applyBorder="1" applyAlignment="1">
      <alignment/>
    </xf>
    <xf numFmtId="0" fontId="0" fillId="0" borderId="21" xfId="0" applyBorder="1" applyAlignment="1">
      <alignment/>
    </xf>
    <xf numFmtId="164" fontId="11" fillId="0" borderId="22" xfId="0" applyNumberFormat="1" applyFont="1" applyBorder="1" applyAlignment="1">
      <alignment/>
    </xf>
    <xf numFmtId="164" fontId="0" fillId="0" borderId="23" xfId="47" applyBorder="1">
      <alignment/>
      <protection/>
    </xf>
    <xf numFmtId="0" fontId="3" fillId="0" borderId="24" xfId="0" applyFont="1" applyFill="1" applyBorder="1" applyAlignment="1">
      <alignment horizontal="right"/>
    </xf>
    <xf numFmtId="0" fontId="0" fillId="0" borderId="0" xfId="0" applyFont="1" applyFill="1" applyBorder="1" applyAlignment="1">
      <alignment/>
    </xf>
    <xf numFmtId="164" fontId="0" fillId="0" borderId="0" xfId="45" applyNumberFormat="1">
      <alignment/>
      <protection/>
    </xf>
    <xf numFmtId="187" fontId="0" fillId="0" borderId="0" xfId="42" applyNumberFormat="1" applyFont="1" applyBorder="1" applyAlignment="1">
      <alignment/>
    </xf>
    <xf numFmtId="171" fontId="0" fillId="0" borderId="0" xfId="42" applyNumberFormat="1" applyFont="1" applyBorder="1" applyAlignment="1">
      <alignment/>
    </xf>
    <xf numFmtId="0" fontId="4" fillId="0" borderId="0" xfId="0" applyFont="1" applyAlignment="1" applyProtection="1">
      <alignment horizontal="center"/>
      <protection/>
    </xf>
    <xf numFmtId="0" fontId="3" fillId="0" borderId="0" xfId="0" applyFont="1" applyAlignment="1">
      <alignment horizontal="center"/>
    </xf>
    <xf numFmtId="190" fontId="0" fillId="0" borderId="0" xfId="42" applyNumberFormat="1" applyFont="1" applyBorder="1" applyAlignment="1">
      <alignment/>
    </xf>
    <xf numFmtId="186" fontId="3" fillId="0" borderId="9" xfId="42" applyNumberFormat="1" applyFont="1" applyBorder="1" applyAlignment="1">
      <alignment/>
    </xf>
    <xf numFmtId="10" fontId="0" fillId="33" borderId="8" xfId="45" applyNumberFormat="1" applyFill="1" applyBorder="1" applyAlignment="1" applyProtection="1">
      <alignment horizontal="center"/>
      <protection locked="0"/>
    </xf>
    <xf numFmtId="10" fontId="0" fillId="0" borderId="0" xfId="62" applyNumberFormat="1" applyFont="1" applyAlignment="1">
      <alignment/>
    </xf>
    <xf numFmtId="10" fontId="0" fillId="0" borderId="0" xfId="62" applyNumberFormat="1" applyFont="1" applyAlignment="1" applyProtection="1">
      <alignment horizontal="center"/>
      <protection/>
    </xf>
    <xf numFmtId="10" fontId="3" fillId="0" borderId="9" xfId="0" applyNumberFormat="1" applyFont="1" applyBorder="1" applyAlignment="1">
      <alignment/>
    </xf>
    <xf numFmtId="175" fontId="3" fillId="33" borderId="25" xfId="45" applyNumberFormat="1" applyFont="1" applyFill="1" applyBorder="1" applyAlignment="1" applyProtection="1">
      <alignment horizontal="left"/>
      <protection locked="0"/>
    </xf>
    <xf numFmtId="0" fontId="3" fillId="0" borderId="26" xfId="0" applyFont="1" applyBorder="1" applyAlignment="1">
      <alignment/>
    </xf>
    <xf numFmtId="0" fontId="3" fillId="0" borderId="27" xfId="0" applyFont="1" applyBorder="1" applyAlignment="1">
      <alignment/>
    </xf>
    <xf numFmtId="0" fontId="31" fillId="0" borderId="0" xfId="0" applyFont="1" applyAlignment="1">
      <alignment/>
    </xf>
    <xf numFmtId="0" fontId="50" fillId="0" borderId="0" xfId="0" applyFont="1" applyAlignment="1">
      <alignment vertical="center" wrapText="1"/>
    </xf>
    <xf numFmtId="0" fontId="51" fillId="0" borderId="0" xfId="0" applyFont="1" applyAlignment="1">
      <alignment vertical="center" wrapText="1"/>
    </xf>
    <xf numFmtId="0" fontId="34" fillId="0" borderId="0" xfId="0" applyFont="1" applyAlignment="1">
      <alignment horizontal="center"/>
    </xf>
    <xf numFmtId="0" fontId="35"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6">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xdr:row>
      <xdr:rowOff>95250</xdr:rowOff>
    </xdr:from>
    <xdr:to>
      <xdr:col>0</xdr:col>
      <xdr:colOff>7600950</xdr:colOff>
      <xdr:row>10</xdr:row>
      <xdr:rowOff>266700</xdr:rowOff>
    </xdr:to>
    <xdr:pic>
      <xdr:nvPicPr>
        <xdr:cNvPr id="1" name="Picture 2"/>
        <xdr:cNvPicPr preferRelativeResize="1">
          <a:picLocks noChangeAspect="1"/>
        </xdr:cNvPicPr>
      </xdr:nvPicPr>
      <xdr:blipFill>
        <a:blip r:embed="rId1"/>
        <a:stretch>
          <a:fillRect/>
        </a:stretch>
      </xdr:blipFill>
      <xdr:spPr>
        <a:xfrm>
          <a:off x="76200" y="904875"/>
          <a:ext cx="7524750" cy="981075"/>
        </a:xfrm>
        <a:prstGeom prst="rect">
          <a:avLst/>
        </a:prstGeom>
        <a:noFill/>
        <a:ln w="9525" cmpd="sng">
          <a:noFill/>
        </a:ln>
      </xdr:spPr>
    </xdr:pic>
    <xdr:clientData/>
  </xdr:twoCellAnchor>
  <xdr:twoCellAnchor editAs="oneCell">
    <xdr:from>
      <xdr:col>1</xdr:col>
      <xdr:colOff>762000</xdr:colOff>
      <xdr:row>22</xdr:row>
      <xdr:rowOff>47625</xdr:rowOff>
    </xdr:from>
    <xdr:to>
      <xdr:col>2</xdr:col>
      <xdr:colOff>9525</xdr:colOff>
      <xdr:row>23</xdr:row>
      <xdr:rowOff>895350</xdr:rowOff>
    </xdr:to>
    <xdr:pic>
      <xdr:nvPicPr>
        <xdr:cNvPr id="2" name="Picture 3"/>
        <xdr:cNvPicPr preferRelativeResize="1">
          <a:picLocks noChangeAspect="1"/>
        </xdr:cNvPicPr>
      </xdr:nvPicPr>
      <xdr:blipFill>
        <a:blip r:embed="rId2"/>
        <a:stretch>
          <a:fillRect/>
        </a:stretch>
      </xdr:blipFill>
      <xdr:spPr>
        <a:xfrm>
          <a:off x="10458450" y="4819650"/>
          <a:ext cx="9525" cy="2038350"/>
        </a:xfrm>
        <a:prstGeom prst="rect">
          <a:avLst/>
        </a:prstGeom>
        <a:noFill/>
        <a:ln w="9525" cmpd="sng">
          <a:noFill/>
        </a:ln>
      </xdr:spPr>
    </xdr:pic>
    <xdr:clientData/>
  </xdr:twoCellAnchor>
  <xdr:twoCellAnchor editAs="oneCell">
    <xdr:from>
      <xdr:col>1</xdr:col>
      <xdr:colOff>762000</xdr:colOff>
      <xdr:row>20</xdr:row>
      <xdr:rowOff>161925</xdr:rowOff>
    </xdr:from>
    <xdr:to>
      <xdr:col>2</xdr:col>
      <xdr:colOff>9525</xdr:colOff>
      <xdr:row>23</xdr:row>
      <xdr:rowOff>733425</xdr:rowOff>
    </xdr:to>
    <xdr:pic>
      <xdr:nvPicPr>
        <xdr:cNvPr id="3" name="Picture 4"/>
        <xdr:cNvPicPr preferRelativeResize="1">
          <a:picLocks noChangeAspect="1"/>
        </xdr:cNvPicPr>
      </xdr:nvPicPr>
      <xdr:blipFill>
        <a:blip r:embed="rId2"/>
        <a:stretch>
          <a:fillRect/>
        </a:stretch>
      </xdr:blipFill>
      <xdr:spPr>
        <a:xfrm>
          <a:off x="10458450" y="4610100"/>
          <a:ext cx="9525" cy="2066925"/>
        </a:xfrm>
        <a:prstGeom prst="rect">
          <a:avLst/>
        </a:prstGeom>
        <a:noFill/>
        <a:ln w="9525" cmpd="sng">
          <a:noFill/>
        </a:ln>
      </xdr:spPr>
    </xdr:pic>
    <xdr:clientData/>
  </xdr:twoCellAnchor>
  <xdr:twoCellAnchor editAs="oneCell">
    <xdr:from>
      <xdr:col>0</xdr:col>
      <xdr:colOff>8048625</xdr:colOff>
      <xdr:row>0</xdr:row>
      <xdr:rowOff>0</xdr:rowOff>
    </xdr:from>
    <xdr:to>
      <xdr:col>1</xdr:col>
      <xdr:colOff>38100</xdr:colOff>
      <xdr:row>15</xdr:row>
      <xdr:rowOff>95250</xdr:rowOff>
    </xdr:to>
    <xdr:pic>
      <xdr:nvPicPr>
        <xdr:cNvPr id="4" name="Picture 5"/>
        <xdr:cNvPicPr preferRelativeResize="1">
          <a:picLocks noChangeAspect="1"/>
        </xdr:cNvPicPr>
      </xdr:nvPicPr>
      <xdr:blipFill>
        <a:blip r:embed="rId2"/>
        <a:stretch>
          <a:fillRect/>
        </a:stretch>
      </xdr:blipFill>
      <xdr:spPr>
        <a:xfrm>
          <a:off x="8048625" y="0"/>
          <a:ext cx="168592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0</xdr:rowOff>
    </xdr:from>
    <xdr:to>
      <xdr:col>7</xdr:col>
      <xdr:colOff>638175</xdr:colOff>
      <xdr:row>4</xdr:row>
      <xdr:rowOff>28575</xdr:rowOff>
    </xdr:to>
    <xdr:pic>
      <xdr:nvPicPr>
        <xdr:cNvPr id="1" name="Picture 2"/>
        <xdr:cNvPicPr preferRelativeResize="1">
          <a:picLocks noChangeAspect="1"/>
        </xdr:cNvPicPr>
      </xdr:nvPicPr>
      <xdr:blipFill>
        <a:blip r:embed="rId1"/>
        <a:stretch>
          <a:fillRect/>
        </a:stretch>
      </xdr:blipFill>
      <xdr:spPr>
        <a:xfrm>
          <a:off x="3629025" y="0"/>
          <a:ext cx="19335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if((AD11-AE11)%3e0,(ad11-ae11),0)" TargetMode="External" /><Relationship Id="rId2" Type="http://schemas.openxmlformats.org/officeDocument/2006/relationships/hyperlink" Target="mailto:=@if((AD$9-AF13)%3ead13,9999,8888)" TargetMode="External" /><Relationship Id="rId3" Type="http://schemas.openxmlformats.org/officeDocument/2006/relationships/hyperlink" Target="mailto:=@if((AD11-AE11)%3e0,(ad11-ae11),0)" TargetMode="External" /><Relationship Id="rId4" Type="http://schemas.openxmlformats.org/officeDocument/2006/relationships/hyperlink" Target="mailto:=@if((AD11-AE11)%3e0,(ad11-ae11),0)" TargetMode="External" /><Relationship Id="rId5" Type="http://schemas.openxmlformats.org/officeDocument/2006/relationships/hyperlink" Target="mailto:=@if((AD11-AE11)%3e0,(ad11-ae11),0)" TargetMode="External" /><Relationship Id="rId6" Type="http://schemas.openxmlformats.org/officeDocument/2006/relationships/hyperlink" Target="mailto:=@if((AD11-AE11)%3e0,(ad11-ae11),0)" TargetMode="External" /><Relationship Id="rId7" Type="http://schemas.openxmlformats.org/officeDocument/2006/relationships/hyperlink" Target="mailto:=@if((AD11-AE11)%3e0,(ad11-ae11),0)" TargetMode="External" /><Relationship Id="rId8" Type="http://schemas.openxmlformats.org/officeDocument/2006/relationships/hyperlink" Target="mailto:=@if((AD11-AE11)%3e0,(ad11-ae11),0)" TargetMode="External" /><Relationship Id="rId9" Type="http://schemas.openxmlformats.org/officeDocument/2006/relationships/hyperlink" Target="mailto:=@if((AD11-AE11)%3e0,(ad11-ae11),0)" TargetMode="External" /><Relationship Id="rId10" Type="http://schemas.openxmlformats.org/officeDocument/2006/relationships/hyperlink" Target="mailto:=@if((AD11-AE11)%3e0,(ad11-ae11),0)" TargetMode="External" /><Relationship Id="rId11" Type="http://schemas.openxmlformats.org/officeDocument/2006/relationships/hyperlink" Target="mailto:=@if((AD11-AE11)%3e0,(ad11-ae11),0)" TargetMode="External" /><Relationship Id="rId12" Type="http://schemas.openxmlformats.org/officeDocument/2006/relationships/hyperlink" Target="mailto:=@if((AD11-AE11)%3e0,(ad11-ae11),0)" TargetMode="External" /><Relationship Id="rId13" Type="http://schemas.openxmlformats.org/officeDocument/2006/relationships/hyperlink" Target="mailto:=@if((AD11-AE11)%3e0,(ad11-ae11),0)" TargetMode="External" /><Relationship Id="rId14" Type="http://schemas.openxmlformats.org/officeDocument/2006/relationships/hyperlink" Target="mailto:=@if((AD11-AE11)%3e0,(ad11-ae11),0)" TargetMode="External" /><Relationship Id="rId15" Type="http://schemas.openxmlformats.org/officeDocument/2006/relationships/hyperlink" Target="mailto:=@if((AD11-AE11)%3e0,(ad11-ae11),0)" TargetMode="External" /><Relationship Id="rId16" Type="http://schemas.openxmlformats.org/officeDocument/2006/relationships/hyperlink" Target="mailto:=@if((AD11-AE11)%3e0,(ad11-ae11),0)" TargetMode="External" /><Relationship Id="rId17" Type="http://schemas.openxmlformats.org/officeDocument/2006/relationships/hyperlink" Target="mailto:=@if((AD11-AE11)%3e0,(ad11-ae11),0)" TargetMode="External" /><Relationship Id="rId18" Type="http://schemas.openxmlformats.org/officeDocument/2006/relationships/hyperlink" Target="mailto:=@if((AD11-AE11)%3e0,(ad11-ae11),0)" TargetMode="External" /><Relationship Id="rId19" Type="http://schemas.openxmlformats.org/officeDocument/2006/relationships/hyperlink" Target="mailto:=@if((AD11-AE11)%3e0,(ad11-ae11),0)" TargetMode="External" /><Relationship Id="rId20" Type="http://schemas.openxmlformats.org/officeDocument/2006/relationships/hyperlink" Target="mailto:=@if((AD11-AE11)%3e0,(ad11-ae11),0)" TargetMode="External" /><Relationship Id="rId21" Type="http://schemas.openxmlformats.org/officeDocument/2006/relationships/hyperlink" Target="mailto:=@if((AD11-AE11)%3e0,(ad11-ae11),0)" TargetMode="External" /><Relationship Id="rId22" Type="http://schemas.openxmlformats.org/officeDocument/2006/relationships/hyperlink" Target="mailto:=@if((AD11-AE11)%3e0,(ad11-ae11),0)" TargetMode="External" /><Relationship Id="rId23" Type="http://schemas.openxmlformats.org/officeDocument/2006/relationships/hyperlink" Target="mailto:=@if((AD11-AE11)%3e0,(ad11-ae11),0)" TargetMode="External" /><Relationship Id="rId24" Type="http://schemas.openxmlformats.org/officeDocument/2006/relationships/hyperlink" Target="mailto:=@if((AD11-AE11)%3e0,(ad11-ae11),0)" TargetMode="External" /><Relationship Id="rId25" Type="http://schemas.openxmlformats.org/officeDocument/2006/relationships/hyperlink" Target="mailto:=@if((AD11-AE11)%3e0,(ad11-ae11),0)" TargetMode="External" /><Relationship Id="rId26" Type="http://schemas.openxmlformats.org/officeDocument/2006/relationships/hyperlink" Target="mailto:=@if((AD11-AE11)%3e0,(ad11-ae11),0)" TargetMode="External" /><Relationship Id="rId27" Type="http://schemas.openxmlformats.org/officeDocument/2006/relationships/hyperlink" Target="mailto:=@if((AD$9-AF13)%3ead13,9999,8888)" TargetMode="External" /><Relationship Id="rId28" Type="http://schemas.openxmlformats.org/officeDocument/2006/relationships/hyperlink" Target="mailto:=@if((AD$9-AF13)%3ead13,9999,8888)" TargetMode="External" /><Relationship Id="rId29" Type="http://schemas.openxmlformats.org/officeDocument/2006/relationships/hyperlink" Target="mailto:=@if((AD$9-AF13)%3ead13,9999,8888)" TargetMode="External" /><Relationship Id="rId30" Type="http://schemas.openxmlformats.org/officeDocument/2006/relationships/hyperlink" Target="mailto:=@if((AD$9-AF13)%3ead13,9999,8888)" TargetMode="External" /><Relationship Id="rId31" Type="http://schemas.openxmlformats.org/officeDocument/2006/relationships/hyperlink" Target="mailto:=@if((AD$9-AF13)%3ead13,9999,8888)" TargetMode="External" /><Relationship Id="rId32" Type="http://schemas.openxmlformats.org/officeDocument/2006/relationships/hyperlink" Target="mailto:=@if((AD$9-AF13)%3ead13,9999,8888)" TargetMode="External" /><Relationship Id="rId33" Type="http://schemas.openxmlformats.org/officeDocument/2006/relationships/hyperlink" Target="mailto:=@if((AD$9-AF13)%3ead13,9999,8888)" TargetMode="External" /><Relationship Id="rId34" Type="http://schemas.openxmlformats.org/officeDocument/2006/relationships/hyperlink" Target="mailto:=@if((AD$9-AF13)%3ead13,9999,8888)" TargetMode="External" /><Relationship Id="rId35" Type="http://schemas.openxmlformats.org/officeDocument/2006/relationships/hyperlink" Target="mailto:=@if((AD$9-AF13)%3ead13,9999,8888)" TargetMode="External" /><Relationship Id="rId36" Type="http://schemas.openxmlformats.org/officeDocument/2006/relationships/hyperlink" Target="mailto:=@if((AD$9-AF13)%3ead13,9999,8888)" TargetMode="External" /><Relationship Id="rId37" Type="http://schemas.openxmlformats.org/officeDocument/2006/relationships/hyperlink" Target="mailto:=@if((AD$9-AF13)%3ead13,9999,8888)" TargetMode="External" /><Relationship Id="rId38" Type="http://schemas.openxmlformats.org/officeDocument/2006/relationships/hyperlink" Target="mailto:=@if((AD$9-AF13)%3ead13,9999,8888)" TargetMode="External" /><Relationship Id="rId39" Type="http://schemas.openxmlformats.org/officeDocument/2006/relationships/hyperlink" Target="mailto:=@if((AD$9-AF13)%3ead13,9999,8888)" TargetMode="External" /><Relationship Id="rId40" Type="http://schemas.openxmlformats.org/officeDocument/2006/relationships/hyperlink" Target="mailto:=@if((AD$9-AF13)%3ead13,9999,8888)" TargetMode="External" /><Relationship Id="rId41" Type="http://schemas.openxmlformats.org/officeDocument/2006/relationships/hyperlink" Target="mailto:=@if((AD$9-AF13)%3ead13,9999,8888)" TargetMode="External" /><Relationship Id="rId42" Type="http://schemas.openxmlformats.org/officeDocument/2006/relationships/hyperlink" Target="mailto:=@if((AD$9-AF13)%3ead13,9999,8888)" TargetMode="External" /><Relationship Id="rId43" Type="http://schemas.openxmlformats.org/officeDocument/2006/relationships/hyperlink" Target="mailto:=@if((AD$9-AF13)%3ead13,9999,8888)" TargetMode="External" /><Relationship Id="rId44" Type="http://schemas.openxmlformats.org/officeDocument/2006/relationships/hyperlink" Target="mailto:=@if((AD$9-AF13)%3ead13,9999,8888)" TargetMode="External" /><Relationship Id="rId45" Type="http://schemas.openxmlformats.org/officeDocument/2006/relationships/hyperlink" Target="mailto:=@if((AD$9-AF13)%3ead13,9999,8888)" TargetMode="External" /><Relationship Id="rId46" Type="http://schemas.openxmlformats.org/officeDocument/2006/relationships/hyperlink" Target="mailto:=@if((AD$9-AF13)%3ead13,9999,8888)" TargetMode="External" /><Relationship Id="rId47" Type="http://schemas.openxmlformats.org/officeDocument/2006/relationships/hyperlink" Target="mailto:=@if((AD$9-AF13)%3ead13,9999,8888)" TargetMode="External" /><Relationship Id="rId48" Type="http://schemas.openxmlformats.org/officeDocument/2006/relationships/hyperlink" Target="mailto:=@if((AD$9-AF13)%3ead13,9999,8888)" TargetMode="External" /><Relationship Id="rId49" Type="http://schemas.openxmlformats.org/officeDocument/2006/relationships/hyperlink" Target="mailto:=@if((AD$9-AF13)%3ead13,9999,8888)" TargetMode="External" /><Relationship Id="rId50" Type="http://schemas.openxmlformats.org/officeDocument/2006/relationships/hyperlink" Target="mailto:=@if((AD$9-AF13)%3ead13,9999,8888)" TargetMode="External" /></Relationships>
</file>

<file path=xl/worksheets/sheet1.xml><?xml version="1.0" encoding="utf-8"?>
<worksheet xmlns="http://schemas.openxmlformats.org/spreadsheetml/2006/main" xmlns:r="http://schemas.openxmlformats.org/officeDocument/2006/relationships">
  <dimension ref="A11:G30"/>
  <sheetViews>
    <sheetView showGridLines="0" showRowColHeaders="0" tabSelected="1" zoomScale="79" zoomScaleNormal="79" workbookViewId="0" topLeftCell="A1">
      <selection activeCell="E16" sqref="E16"/>
    </sheetView>
  </sheetViews>
  <sheetFormatPr defaultColWidth="11.421875" defaultRowHeight="12.75"/>
  <cols>
    <col min="1" max="1" width="145.421875" style="0" customWidth="1"/>
  </cols>
  <sheetData>
    <row r="11" spans="2:7" ht="23.25">
      <c r="B11" s="66"/>
      <c r="C11" s="66"/>
      <c r="D11" s="24"/>
      <c r="E11" s="5"/>
      <c r="F11" s="5"/>
      <c r="G11" s="5"/>
    </row>
    <row r="12" spans="2:7" ht="23.25">
      <c r="B12" s="66"/>
      <c r="C12" s="66"/>
      <c r="D12" s="24"/>
      <c r="E12" s="5"/>
      <c r="F12" s="5"/>
      <c r="G12" s="5"/>
    </row>
    <row r="13" spans="4:7" ht="12.75">
      <c r="D13" s="1"/>
      <c r="F13" s="5"/>
      <c r="G13" s="5"/>
    </row>
    <row r="14" spans="2:7" ht="12.75">
      <c r="B14" s="5"/>
      <c r="C14" s="5"/>
      <c r="D14" s="24"/>
      <c r="E14" s="5"/>
      <c r="F14" s="5"/>
      <c r="G14" s="5"/>
    </row>
    <row r="15" spans="2:7" ht="12.75">
      <c r="B15" s="5"/>
      <c r="C15" s="5"/>
      <c r="D15" s="24"/>
      <c r="E15" s="5"/>
      <c r="F15" s="5"/>
      <c r="G15" s="5"/>
    </row>
    <row r="16" ht="30">
      <c r="A16" s="117" t="s">
        <v>99</v>
      </c>
    </row>
    <row r="17" ht="27">
      <c r="A17" s="117" t="s">
        <v>147</v>
      </c>
    </row>
    <row r="18" ht="27">
      <c r="A18" s="118" t="s">
        <v>132</v>
      </c>
    </row>
    <row r="19" ht="27">
      <c r="A19" s="117" t="s">
        <v>85</v>
      </c>
    </row>
    <row r="20" ht="27">
      <c r="A20" s="117" t="s">
        <v>86</v>
      </c>
    </row>
    <row r="23" ht="93.75">
      <c r="A23" s="115" t="s">
        <v>148</v>
      </c>
    </row>
    <row r="24" ht="168.75">
      <c r="A24" s="116" t="s">
        <v>146</v>
      </c>
    </row>
    <row r="25" ht="15">
      <c r="A25" s="114"/>
    </row>
    <row r="26" ht="15">
      <c r="A26" s="114"/>
    </row>
    <row r="27" ht="15">
      <c r="A27" s="114"/>
    </row>
    <row r="28" ht="15">
      <c r="A28" s="114"/>
    </row>
    <row r="29" ht="15">
      <c r="A29" s="114"/>
    </row>
    <row r="30" ht="15">
      <c r="A30" s="114"/>
    </row>
  </sheetData>
  <sheetProtection password="9009" sheet="1" objects="1" scenarios="1"/>
  <printOptions/>
  <pageMargins left="0.75" right="0.75" top="1" bottom="1" header="0.5" footer="0.5"/>
  <pageSetup orientation="portrait" scale="88"/>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L63"/>
  <sheetViews>
    <sheetView zoomScale="140" zoomScaleNormal="140" zoomScaleSheetLayoutView="150" workbookViewId="0" topLeftCell="A1">
      <selection activeCell="B1" sqref="B1:H4"/>
    </sheetView>
  </sheetViews>
  <sheetFormatPr defaultColWidth="8.8515625" defaultRowHeight="12.75"/>
  <cols>
    <col min="1" max="1" width="3.00390625" style="0" customWidth="1"/>
    <col min="2" max="2" width="18.421875" style="0" customWidth="1"/>
    <col min="3" max="3" width="9.7109375" style="0" customWidth="1"/>
    <col min="4" max="4" width="8.421875" style="0" customWidth="1"/>
    <col min="5" max="5" width="12.7109375" style="1" customWidth="1"/>
    <col min="6" max="6" width="3.140625" style="0" customWidth="1"/>
    <col min="7" max="7" width="18.421875" style="0" customWidth="1"/>
    <col min="8" max="8" width="9.7109375" style="0" customWidth="1"/>
    <col min="9" max="9" width="8.421875" style="0" customWidth="1"/>
    <col min="10" max="11" width="12.7109375" style="0" customWidth="1"/>
    <col min="12" max="14" width="10.7109375" style="0" customWidth="1"/>
  </cols>
  <sheetData>
    <row r="1" spans="1:8" ht="23.25">
      <c r="A1" s="23"/>
      <c r="B1" s="70" t="s">
        <v>99</v>
      </c>
      <c r="C1" s="66"/>
      <c r="D1" s="66"/>
      <c r="E1" s="24"/>
      <c r="F1" s="5"/>
      <c r="G1" s="5"/>
      <c r="H1" s="5"/>
    </row>
    <row r="2" spans="1:8" ht="12.75">
      <c r="A2" s="5"/>
      <c r="B2" s="5" t="s">
        <v>132</v>
      </c>
      <c r="G2" s="5"/>
      <c r="H2" s="5"/>
    </row>
    <row r="3" spans="1:8" ht="12.75">
      <c r="A3" s="5"/>
      <c r="B3" s="3" t="s">
        <v>85</v>
      </c>
      <c r="C3" s="5"/>
      <c r="D3" s="5"/>
      <c r="E3" s="24"/>
      <c r="F3" s="5"/>
      <c r="G3" s="5"/>
      <c r="H3" s="5"/>
    </row>
    <row r="4" spans="1:8" ht="12.75">
      <c r="A4" s="5"/>
      <c r="B4" s="3" t="s">
        <v>86</v>
      </c>
      <c r="C4" s="5"/>
      <c r="D4" s="5"/>
      <c r="E4" s="24"/>
      <c r="F4" s="5"/>
      <c r="G4" s="5"/>
      <c r="H4" s="5"/>
    </row>
    <row r="5" spans="1:8" ht="15.75">
      <c r="A5" s="5"/>
      <c r="B5" s="111" t="s">
        <v>131</v>
      </c>
      <c r="C5" s="112"/>
      <c r="D5" s="112"/>
      <c r="E5" s="113"/>
      <c r="F5" s="5"/>
      <c r="G5" s="5"/>
      <c r="H5" s="5"/>
    </row>
    <row r="6" spans="1:8" ht="12">
      <c r="A6" s="5"/>
      <c r="B6" s="5"/>
      <c r="D6" s="103" t="s">
        <v>114</v>
      </c>
      <c r="E6" s="23"/>
      <c r="F6" s="23"/>
      <c r="G6" s="23"/>
      <c r="H6" s="26"/>
    </row>
    <row r="7" spans="1:8" ht="12">
      <c r="A7" s="5">
        <v>1</v>
      </c>
      <c r="B7" s="27" t="s">
        <v>53</v>
      </c>
      <c r="C7" s="30"/>
      <c r="D7" s="30"/>
      <c r="E7" s="30"/>
      <c r="F7" s="30"/>
      <c r="G7" s="30"/>
      <c r="H7" s="75">
        <v>2014</v>
      </c>
    </row>
    <row r="8" spans="1:8" ht="12">
      <c r="A8" s="5">
        <v>2</v>
      </c>
      <c r="B8" s="27" t="s">
        <v>118</v>
      </c>
      <c r="C8" s="30"/>
      <c r="D8" s="30"/>
      <c r="E8" s="30"/>
      <c r="F8" s="30"/>
      <c r="G8" s="30"/>
      <c r="H8" s="76">
        <v>10000</v>
      </c>
    </row>
    <row r="9" spans="1:10" ht="12">
      <c r="A9" s="5">
        <v>3</v>
      </c>
      <c r="B9" s="27" t="s">
        <v>119</v>
      </c>
      <c r="C9" s="30"/>
      <c r="D9" s="30"/>
      <c r="E9" s="30"/>
      <c r="F9" s="30"/>
      <c r="G9" s="30"/>
      <c r="H9" s="76">
        <v>1000</v>
      </c>
      <c r="J9" t="s">
        <v>109</v>
      </c>
    </row>
    <row r="10" spans="1:10" ht="12">
      <c r="A10" s="99">
        <v>4</v>
      </c>
      <c r="B10" s="27" t="s">
        <v>120</v>
      </c>
      <c r="C10" s="30"/>
      <c r="D10" s="30"/>
      <c r="E10" s="30"/>
      <c r="F10" s="30"/>
      <c r="G10" s="30"/>
      <c r="H10" s="76">
        <v>100</v>
      </c>
      <c r="J10" s="100">
        <f>H8+H9+H10</f>
        <v>11100</v>
      </c>
    </row>
    <row r="11" spans="1:8" ht="12">
      <c r="A11" s="5">
        <v>5</v>
      </c>
      <c r="B11" s="29" t="s">
        <v>57</v>
      </c>
      <c r="C11" s="28"/>
      <c r="D11" s="28"/>
      <c r="E11" s="28"/>
      <c r="F11" s="28"/>
      <c r="G11" s="28"/>
      <c r="H11" s="75">
        <v>20</v>
      </c>
    </row>
    <row r="12" spans="1:8" ht="12">
      <c r="A12" s="5">
        <v>6</v>
      </c>
      <c r="B12" s="29" t="s">
        <v>67</v>
      </c>
      <c r="C12" s="28"/>
      <c r="D12" s="28"/>
      <c r="E12" s="28"/>
      <c r="F12" s="28"/>
      <c r="G12" s="28"/>
      <c r="H12" s="76">
        <f>0.1*H8</f>
        <v>1000</v>
      </c>
    </row>
    <row r="13" spans="1:8" ht="12">
      <c r="A13" s="5">
        <v>7</v>
      </c>
      <c r="B13" s="27" t="s">
        <v>78</v>
      </c>
      <c r="C13" s="5"/>
      <c r="D13" s="5"/>
      <c r="E13" s="5"/>
      <c r="F13" s="5"/>
      <c r="G13" s="5"/>
      <c r="H13" s="76">
        <f>0.8*J10</f>
        <v>8880</v>
      </c>
    </row>
    <row r="14" spans="1:8" ht="12">
      <c r="A14" s="5">
        <v>8</v>
      </c>
      <c r="B14" s="29" t="s">
        <v>66</v>
      </c>
      <c r="C14" s="28"/>
      <c r="D14" s="28"/>
      <c r="E14" s="28"/>
      <c r="F14" s="28"/>
      <c r="G14" s="28"/>
      <c r="H14" s="77">
        <v>0.05</v>
      </c>
    </row>
    <row r="15" spans="1:8" ht="12">
      <c r="A15" s="5">
        <v>9</v>
      </c>
      <c r="B15" s="29" t="s">
        <v>54</v>
      </c>
      <c r="C15" s="28"/>
      <c r="D15" s="28"/>
      <c r="E15" s="28"/>
      <c r="F15" s="28"/>
      <c r="G15" s="28"/>
      <c r="H15" s="78">
        <v>5</v>
      </c>
    </row>
    <row r="16" spans="1:7" ht="12">
      <c r="A16" s="28"/>
      <c r="B16" s="28"/>
      <c r="C16" s="25"/>
      <c r="D16" s="23"/>
      <c r="E16" s="5"/>
      <c r="F16" s="5"/>
      <c r="G16" s="5"/>
    </row>
    <row r="17" spans="1:11" ht="12">
      <c r="A17" s="28"/>
      <c r="B17" s="28"/>
      <c r="D17" s="103" t="s">
        <v>22</v>
      </c>
      <c r="E17" s="23"/>
      <c r="F17" s="23"/>
      <c r="G17" s="5"/>
      <c r="I17" s="90" t="s">
        <v>143</v>
      </c>
      <c r="J17" s="26" t="s">
        <v>144</v>
      </c>
      <c r="K17" s="26" t="s">
        <v>96</v>
      </c>
    </row>
    <row r="18" spans="1:11" ht="12">
      <c r="A18" s="28">
        <v>10</v>
      </c>
      <c r="B18" s="27" t="s">
        <v>87</v>
      </c>
      <c r="C18" s="5"/>
      <c r="D18" s="5"/>
      <c r="E18" s="5"/>
      <c r="F18" s="5"/>
      <c r="G18" s="5"/>
      <c r="H18" s="108">
        <f>SUM(I18:K18)</f>
        <v>0.3455</v>
      </c>
      <c r="I18" s="107">
        <v>0.153</v>
      </c>
      <c r="J18" s="107">
        <v>0.15</v>
      </c>
      <c r="K18" s="107">
        <v>0.0425</v>
      </c>
    </row>
    <row r="19" spans="1:8" ht="12">
      <c r="A19" s="28">
        <v>11</v>
      </c>
      <c r="B19" s="29" t="s">
        <v>50</v>
      </c>
      <c r="C19" s="28"/>
      <c r="D19" s="28"/>
      <c r="E19" s="28"/>
      <c r="F19" s="28"/>
      <c r="G19" s="28"/>
      <c r="H19" s="75">
        <v>7</v>
      </c>
    </row>
    <row r="20" spans="1:8" ht="12">
      <c r="A20" s="28">
        <v>12</v>
      </c>
      <c r="B20" s="29" t="s">
        <v>52</v>
      </c>
      <c r="C20" s="28"/>
      <c r="D20" s="28"/>
      <c r="E20" s="28"/>
      <c r="F20" s="28"/>
      <c r="G20" s="28"/>
      <c r="H20" s="75">
        <v>10</v>
      </c>
    </row>
    <row r="21" spans="1:8" ht="12">
      <c r="A21" s="28">
        <v>13</v>
      </c>
      <c r="B21" s="29" t="s">
        <v>51</v>
      </c>
      <c r="C21" s="28"/>
      <c r="D21" s="28"/>
      <c r="E21" s="28"/>
      <c r="F21" s="28"/>
      <c r="G21" s="28"/>
      <c r="H21" s="75">
        <v>1</v>
      </c>
    </row>
    <row r="22" spans="1:8" ht="12">
      <c r="A22" s="28">
        <v>14</v>
      </c>
      <c r="B22" s="27" t="s">
        <v>89</v>
      </c>
      <c r="C22" s="28"/>
      <c r="D22" s="28"/>
      <c r="E22" s="28"/>
      <c r="F22" s="28"/>
      <c r="G22" s="28"/>
      <c r="H22" s="76">
        <f>J10*0.5</f>
        <v>5550</v>
      </c>
    </row>
    <row r="23" spans="1:8" ht="12">
      <c r="A23" s="28">
        <v>15</v>
      </c>
      <c r="B23" s="27" t="s">
        <v>145</v>
      </c>
      <c r="C23" s="28"/>
      <c r="D23" s="28"/>
      <c r="E23" s="28"/>
      <c r="F23" s="28"/>
      <c r="G23" s="28"/>
      <c r="H23" s="77">
        <v>0.1</v>
      </c>
    </row>
    <row r="24" spans="1:8" ht="12">
      <c r="A24" s="28"/>
      <c r="B24" s="34" t="s">
        <v>97</v>
      </c>
      <c r="C24" s="28"/>
      <c r="D24" s="28"/>
      <c r="E24" s="28"/>
      <c r="F24" s="28"/>
      <c r="G24" s="28"/>
      <c r="H24" s="4"/>
    </row>
    <row r="25" spans="1:8" ht="12">
      <c r="A25" s="28"/>
      <c r="B25" s="34"/>
      <c r="C25" s="28"/>
      <c r="D25" s="28"/>
      <c r="E25" s="28"/>
      <c r="F25" s="28"/>
      <c r="G25" s="28"/>
      <c r="H25" s="4"/>
    </row>
    <row r="26" spans="1:11" ht="12">
      <c r="A26" s="28"/>
      <c r="B26" s="34"/>
      <c r="C26" s="28"/>
      <c r="D26" s="103" t="s">
        <v>115</v>
      </c>
      <c r="E26" s="28"/>
      <c r="F26" s="28"/>
      <c r="J26" s="90" t="s">
        <v>98</v>
      </c>
      <c r="K26" s="89">
        <f>G58</f>
        <v>536.2235800477106</v>
      </c>
    </row>
    <row r="27" spans="1:7" ht="15">
      <c r="A27" s="5"/>
      <c r="D27" s="104" t="s">
        <v>116</v>
      </c>
      <c r="G27" s="69"/>
    </row>
    <row r="28" spans="2:10" ht="15">
      <c r="B28" s="70" t="s">
        <v>91</v>
      </c>
      <c r="E28" s="4"/>
      <c r="G28" s="70" t="s">
        <v>130</v>
      </c>
      <c r="J28" s="4"/>
    </row>
    <row r="29" spans="1:10" ht="12.75">
      <c r="A29">
        <v>16</v>
      </c>
      <c r="B29" s="79" t="s">
        <v>122</v>
      </c>
      <c r="C29" s="80"/>
      <c r="D29" s="80"/>
      <c r="E29" s="81"/>
      <c r="F29">
        <v>17</v>
      </c>
      <c r="G29" s="79" t="s">
        <v>121</v>
      </c>
      <c r="H29" s="80"/>
      <c r="I29" s="80"/>
      <c r="J29" s="81"/>
    </row>
    <row r="30" spans="2:10" ht="12">
      <c r="B30" s="82" t="s">
        <v>107</v>
      </c>
      <c r="C30" s="101"/>
      <c r="D30" s="102"/>
      <c r="E30" s="91" t="s">
        <v>92</v>
      </c>
      <c r="G30" s="82" t="s">
        <v>100</v>
      </c>
      <c r="H30" s="101"/>
      <c r="I30" s="102"/>
      <c r="J30" s="83" t="s">
        <v>92</v>
      </c>
    </row>
    <row r="31" spans="2:10" ht="12">
      <c r="B31" s="82" t="s">
        <v>104</v>
      </c>
      <c r="C31" s="101"/>
      <c r="D31" s="102"/>
      <c r="E31" s="91" t="s">
        <v>92</v>
      </c>
      <c r="G31" s="82" t="s">
        <v>101</v>
      </c>
      <c r="H31" s="101"/>
      <c r="I31" s="102"/>
      <c r="J31" s="83" t="s">
        <v>92</v>
      </c>
    </row>
    <row r="32" spans="2:10" ht="12">
      <c r="B32" s="82" t="s">
        <v>135</v>
      </c>
      <c r="C32" s="101"/>
      <c r="D32" s="102"/>
      <c r="E32" s="91">
        <f>0.005*H8</f>
        <v>50</v>
      </c>
      <c r="G32" s="82" t="s">
        <v>126</v>
      </c>
      <c r="H32" s="101"/>
      <c r="I32" s="101"/>
      <c r="J32" s="83" t="s">
        <v>92</v>
      </c>
    </row>
    <row r="33" spans="2:11" ht="12">
      <c r="B33" s="82" t="s">
        <v>136</v>
      </c>
      <c r="C33" s="101"/>
      <c r="D33" s="102"/>
      <c r="E33" s="91" t="s">
        <v>92</v>
      </c>
      <c r="G33" s="82" t="s">
        <v>134</v>
      </c>
      <c r="H33" s="101"/>
      <c r="I33" s="105"/>
      <c r="J33" s="83" t="s">
        <v>92</v>
      </c>
      <c r="K33" s="45"/>
    </row>
    <row r="34" spans="2:10" ht="12">
      <c r="B34" s="82" t="s">
        <v>137</v>
      </c>
      <c r="C34" s="101"/>
      <c r="D34" s="102"/>
      <c r="E34" s="91" t="s">
        <v>92</v>
      </c>
      <c r="G34" s="82" t="s">
        <v>90</v>
      </c>
      <c r="H34" s="101"/>
      <c r="I34" s="105"/>
      <c r="J34" s="83" t="s">
        <v>92</v>
      </c>
    </row>
    <row r="35" spans="2:11" ht="12">
      <c r="B35" s="82" t="s">
        <v>138</v>
      </c>
      <c r="C35" s="101"/>
      <c r="D35" s="102"/>
      <c r="E35" s="91" t="s">
        <v>92</v>
      </c>
      <c r="G35" s="82" t="s">
        <v>90</v>
      </c>
      <c r="H35" s="101"/>
      <c r="I35" s="102"/>
      <c r="J35" s="83" t="s">
        <v>92</v>
      </c>
      <c r="K35" s="45"/>
    </row>
    <row r="36" spans="2:10" ht="12">
      <c r="B36" s="82" t="s">
        <v>108</v>
      </c>
      <c r="C36" s="101"/>
      <c r="D36" s="102"/>
      <c r="E36" s="91" t="s">
        <v>92</v>
      </c>
      <c r="G36" s="82" t="s">
        <v>90</v>
      </c>
      <c r="H36" s="101"/>
      <c r="I36" s="102"/>
      <c r="J36" s="83" t="s">
        <v>92</v>
      </c>
    </row>
    <row r="37" spans="2:10" ht="12">
      <c r="B37" s="82" t="s">
        <v>128</v>
      </c>
      <c r="C37" s="101"/>
      <c r="D37" s="102"/>
      <c r="E37" s="91" t="s">
        <v>92</v>
      </c>
      <c r="G37" s="82" t="s">
        <v>90</v>
      </c>
      <c r="H37" s="101"/>
      <c r="I37" s="102"/>
      <c r="J37" s="83" t="s">
        <v>92</v>
      </c>
    </row>
    <row r="38" spans="2:10" ht="12">
      <c r="B38" s="82" t="s">
        <v>90</v>
      </c>
      <c r="C38" s="101"/>
      <c r="D38" s="102"/>
      <c r="E38" s="91" t="s">
        <v>92</v>
      </c>
      <c r="G38" s="82" t="s">
        <v>90</v>
      </c>
      <c r="H38" s="101"/>
      <c r="I38" s="102"/>
      <c r="J38" s="83" t="s">
        <v>92</v>
      </c>
    </row>
    <row r="39" spans="2:10" ht="12">
      <c r="B39" s="84" t="s">
        <v>90</v>
      </c>
      <c r="C39" s="101"/>
      <c r="D39" s="102"/>
      <c r="E39" s="92" t="s">
        <v>92</v>
      </c>
      <c r="G39" s="84" t="s">
        <v>90</v>
      </c>
      <c r="H39" s="101"/>
      <c r="I39" s="102"/>
      <c r="J39" s="85" t="s">
        <v>92</v>
      </c>
    </row>
    <row r="40" spans="2:10" ht="12">
      <c r="B40" s="4"/>
      <c r="C40" s="4"/>
      <c r="D40" s="4"/>
      <c r="E40" s="4"/>
      <c r="F40" s="4"/>
      <c r="G40" s="4"/>
      <c r="H40" s="101"/>
      <c r="I40" s="102"/>
      <c r="J40" s="72"/>
    </row>
    <row r="41" spans="1:10" ht="12.75">
      <c r="A41">
        <v>18</v>
      </c>
      <c r="B41" s="79" t="s">
        <v>123</v>
      </c>
      <c r="C41" s="80"/>
      <c r="D41" s="80"/>
      <c r="E41" s="81"/>
      <c r="F41" s="4">
        <v>19</v>
      </c>
      <c r="G41" s="79" t="s">
        <v>124</v>
      </c>
      <c r="H41" s="80"/>
      <c r="I41" s="80"/>
      <c r="J41" s="81"/>
    </row>
    <row r="42" spans="2:10" ht="12">
      <c r="B42" s="82" t="s">
        <v>105</v>
      </c>
      <c r="C42" s="101"/>
      <c r="D42" s="102"/>
      <c r="E42" s="91" t="s">
        <v>92</v>
      </c>
      <c r="G42" s="82" t="s">
        <v>111</v>
      </c>
      <c r="H42" s="101"/>
      <c r="I42" s="102"/>
      <c r="J42" s="83">
        <v>1000</v>
      </c>
    </row>
    <row r="43" spans="2:10" ht="12">
      <c r="B43" s="82" t="s">
        <v>139</v>
      </c>
      <c r="C43" s="101"/>
      <c r="D43" s="102"/>
      <c r="E43" s="91" t="s">
        <v>92</v>
      </c>
      <c r="G43" s="82" t="s">
        <v>103</v>
      </c>
      <c r="H43" s="101"/>
      <c r="I43" s="102"/>
      <c r="J43" s="83" t="s">
        <v>92</v>
      </c>
    </row>
    <row r="44" spans="2:10" ht="12">
      <c r="B44" s="82" t="s">
        <v>140</v>
      </c>
      <c r="C44" s="101"/>
      <c r="D44" s="102"/>
      <c r="E44" s="91" t="s">
        <v>92</v>
      </c>
      <c r="G44" s="82" t="s">
        <v>102</v>
      </c>
      <c r="H44" s="101"/>
      <c r="I44" s="102"/>
      <c r="J44" s="83">
        <v>300</v>
      </c>
    </row>
    <row r="45" spans="2:10" ht="12">
      <c r="B45" s="82" t="s">
        <v>141</v>
      </c>
      <c r="C45" s="101"/>
      <c r="D45" s="102"/>
      <c r="E45" s="91" t="s">
        <v>92</v>
      </c>
      <c r="G45" s="82" t="s">
        <v>142</v>
      </c>
      <c r="H45" s="101"/>
      <c r="I45" s="102"/>
      <c r="J45" s="83" t="s">
        <v>92</v>
      </c>
    </row>
    <row r="46" spans="2:10" ht="12">
      <c r="B46" s="82" t="s">
        <v>90</v>
      </c>
      <c r="C46" s="101"/>
      <c r="D46" s="102"/>
      <c r="E46" s="91" t="s">
        <v>92</v>
      </c>
      <c r="G46" s="82" t="s">
        <v>110</v>
      </c>
      <c r="H46" s="101"/>
      <c r="I46" s="102"/>
      <c r="J46" s="83" t="s">
        <v>92</v>
      </c>
    </row>
    <row r="47" spans="2:10" ht="12">
      <c r="B47" s="82" t="s">
        <v>90</v>
      </c>
      <c r="C47" s="101"/>
      <c r="D47" s="102"/>
      <c r="E47" s="91" t="s">
        <v>92</v>
      </c>
      <c r="G47" s="82" t="s">
        <v>112</v>
      </c>
      <c r="H47" s="101"/>
      <c r="I47" s="102"/>
      <c r="J47" s="83" t="s">
        <v>92</v>
      </c>
    </row>
    <row r="48" spans="2:10" ht="12">
      <c r="B48" s="82" t="s">
        <v>90</v>
      </c>
      <c r="C48" s="101"/>
      <c r="D48" s="102"/>
      <c r="E48" s="91" t="s">
        <v>92</v>
      </c>
      <c r="G48" s="82" t="s">
        <v>113</v>
      </c>
      <c r="H48" s="101"/>
      <c r="I48" s="102"/>
      <c r="J48" s="83" t="s">
        <v>92</v>
      </c>
    </row>
    <row r="49" spans="2:10" ht="12">
      <c r="B49" s="82" t="s">
        <v>90</v>
      </c>
      <c r="C49" s="101"/>
      <c r="D49" s="102"/>
      <c r="E49" s="91" t="s">
        <v>92</v>
      </c>
      <c r="G49" s="82" t="s">
        <v>133</v>
      </c>
      <c r="H49" s="101"/>
      <c r="I49" s="102"/>
      <c r="J49" s="83" t="s">
        <v>92</v>
      </c>
    </row>
    <row r="50" spans="2:10" ht="12">
      <c r="B50" s="82" t="s">
        <v>90</v>
      </c>
      <c r="C50" s="101"/>
      <c r="D50" s="102"/>
      <c r="E50" s="91" t="s">
        <v>92</v>
      </c>
      <c r="G50" s="82" t="s">
        <v>127</v>
      </c>
      <c r="H50" s="101"/>
      <c r="I50" s="102"/>
      <c r="J50" s="83" t="s">
        <v>92</v>
      </c>
    </row>
    <row r="51" spans="2:10" ht="12">
      <c r="B51" s="84" t="s">
        <v>90</v>
      </c>
      <c r="C51" s="101"/>
      <c r="D51" s="102"/>
      <c r="E51" s="92" t="s">
        <v>92</v>
      </c>
      <c r="G51" s="82" t="s">
        <v>90</v>
      </c>
      <c r="H51" s="101"/>
      <c r="I51" s="102"/>
      <c r="J51" s="83" t="s">
        <v>92</v>
      </c>
    </row>
    <row r="52" spans="2:12" ht="13.5" thickBot="1">
      <c r="B52" s="93" t="s">
        <v>93</v>
      </c>
      <c r="C52" s="4"/>
      <c r="D52" s="4"/>
      <c r="E52" s="94">
        <f>SUM(E30:E51)</f>
        <v>50</v>
      </c>
      <c r="G52" s="93" t="s">
        <v>94</v>
      </c>
      <c r="J52" s="86">
        <f>SUM(J30:J51)</f>
        <v>1300</v>
      </c>
      <c r="L52" s="44"/>
    </row>
    <row r="53" spans="5:10" ht="15.75" thickBot="1">
      <c r="E53" s="97"/>
      <c r="F53" s="95"/>
      <c r="G53" s="95"/>
      <c r="H53" s="95"/>
      <c r="I53" s="98" t="s">
        <v>117</v>
      </c>
      <c r="J53" s="96">
        <f>J52-E52</f>
        <v>1250</v>
      </c>
    </row>
    <row r="54" spans="1:7" ht="15">
      <c r="A54">
        <v>20</v>
      </c>
      <c r="B54" s="5" t="s">
        <v>125</v>
      </c>
      <c r="E54" s="73"/>
      <c r="G54" s="69"/>
    </row>
    <row r="55" spans="2:7" ht="15">
      <c r="B55" s="71" t="s">
        <v>95</v>
      </c>
      <c r="C55" s="71"/>
      <c r="D55" s="71"/>
      <c r="E55" s="71"/>
      <c r="G55" s="69"/>
    </row>
    <row r="56" spans="2:7" ht="15">
      <c r="B56" s="71" t="s">
        <v>95</v>
      </c>
      <c r="C56" s="71"/>
      <c r="D56" s="71"/>
      <c r="E56" s="71"/>
      <c r="G56" s="69"/>
    </row>
    <row r="57" spans="2:7" ht="15.75" thickBot="1">
      <c r="B57" s="71" t="s">
        <v>95</v>
      </c>
      <c r="C57" s="71"/>
      <c r="D57" s="71"/>
      <c r="E57" s="71"/>
      <c r="G57" s="69"/>
    </row>
    <row r="58" spans="1:9" ht="15.75" thickBot="1">
      <c r="A58" s="28"/>
      <c r="C58" s="28"/>
      <c r="D58" s="28"/>
      <c r="E58" s="28"/>
      <c r="F58" s="87" t="s">
        <v>79</v>
      </c>
      <c r="G58" s="33">
        <f>Tables!G25</f>
        <v>536.2235800477106</v>
      </c>
      <c r="H58" s="74">
        <f>H23</f>
        <v>0.1</v>
      </c>
      <c r="I58" t="s">
        <v>106</v>
      </c>
    </row>
    <row r="59" spans="2:8" ht="12">
      <c r="B59" s="35" t="s">
        <v>88</v>
      </c>
      <c r="H59" s="4"/>
    </row>
    <row r="60" ht="12.75" thickBot="1">
      <c r="B60" s="35" t="s">
        <v>70</v>
      </c>
    </row>
    <row r="61" spans="2:8" ht="15.75" thickBot="1">
      <c r="B61" s="35"/>
      <c r="G61" s="110">
        <f>Tables!H67</f>
        <v>0.11599550984933993</v>
      </c>
      <c r="H61" s="88" t="s">
        <v>82</v>
      </c>
    </row>
    <row r="62" spans="2:8" ht="15.75" thickBot="1">
      <c r="B62" s="35"/>
      <c r="G62" s="110">
        <f>Tables!I67</f>
        <v>0.11637048852533582</v>
      </c>
      <c r="H62" s="3" t="s">
        <v>83</v>
      </c>
    </row>
    <row r="63" spans="7:8" ht="15.75" thickBot="1">
      <c r="G63" s="106">
        <f>J10/J53</f>
        <v>8.88</v>
      </c>
      <c r="H63" s="3" t="s">
        <v>129</v>
      </c>
    </row>
  </sheetData>
  <sheetProtection sheet="1"/>
  <mergeCells count="1">
    <mergeCell ref="B5:E5"/>
  </mergeCells>
  <conditionalFormatting sqref="G54:G58 G27 G61:G62">
    <cfRule type="cellIs" priority="3" dxfId="1" operator="greaterThan" stopIfTrue="1">
      <formula>0</formula>
    </cfRule>
    <cfRule type="cellIs" priority="4" dxfId="0" operator="lessThanOrEqual" stopIfTrue="1">
      <formula>0</formula>
    </cfRule>
  </conditionalFormatting>
  <conditionalFormatting sqref="G63">
    <cfRule type="cellIs" priority="1" dxfId="1" operator="greaterThan" stopIfTrue="1">
      <formula>0</formula>
    </cfRule>
    <cfRule type="cellIs" priority="2" dxfId="0" operator="lessThanOrEqual" stopIfTrue="1">
      <formula>0</formula>
    </cfRule>
  </conditionalFormatting>
  <printOptions/>
  <pageMargins left="0.25" right="0.25" top="0.25" bottom="0.25" header="0" footer="0"/>
  <pageSetup fitToHeight="1" fitToWidth="1" horizontalDpi="600" verticalDpi="600" orientation="portrait" scale="88"/>
  <drawing r:id="rId1"/>
</worksheet>
</file>

<file path=xl/worksheets/sheet3.xml><?xml version="1.0" encoding="utf-8"?>
<worksheet xmlns="http://schemas.openxmlformats.org/spreadsheetml/2006/main" xmlns:r="http://schemas.openxmlformats.org/officeDocument/2006/relationships">
  <sheetPr>
    <pageSetUpPr fitToPage="1"/>
  </sheetPr>
  <dimension ref="A1:AO157"/>
  <sheetViews>
    <sheetView workbookViewId="0" topLeftCell="A16">
      <selection activeCell="G25" sqref="G25"/>
    </sheetView>
  </sheetViews>
  <sheetFormatPr defaultColWidth="11.00390625" defaultRowHeight="12.75"/>
  <cols>
    <col min="1" max="5" width="11.00390625" style="0" customWidth="1"/>
    <col min="6" max="6" width="12.7109375" style="0" bestFit="1" customWidth="1"/>
    <col min="7" max="7" width="14.00390625" style="0" bestFit="1" customWidth="1"/>
    <col min="8" max="8" width="13.7109375" style="0" customWidth="1"/>
    <col min="9" max="9" width="14.140625" style="0" customWidth="1"/>
    <col min="10" max="11" width="11.00390625" style="0" customWidth="1"/>
    <col min="12" max="12" width="12.28125" style="0" bestFit="1" customWidth="1"/>
    <col min="13" max="27" width="11.00390625" style="0" customWidth="1"/>
    <col min="28" max="28" width="17.00390625" style="0" bestFit="1" customWidth="1"/>
  </cols>
  <sheetData>
    <row r="1" spans="1:11" ht="15">
      <c r="A1" s="6" t="s">
        <v>59</v>
      </c>
      <c r="B1" s="51"/>
      <c r="C1" s="51"/>
      <c r="D1" s="51"/>
      <c r="E1" s="51"/>
      <c r="F1" s="51"/>
      <c r="G1" s="20"/>
      <c r="H1" s="8"/>
      <c r="I1" s="12"/>
      <c r="J1" s="12"/>
      <c r="K1" s="12"/>
    </row>
    <row r="2" spans="1:11" ht="12">
      <c r="A2" s="20"/>
      <c r="B2" s="20"/>
      <c r="C2" s="52"/>
      <c r="D2" s="52"/>
      <c r="E2" s="52"/>
      <c r="F2" s="52"/>
      <c r="G2" s="52"/>
      <c r="H2" s="8"/>
      <c r="I2" s="12"/>
      <c r="J2" s="12"/>
      <c r="K2" s="12"/>
    </row>
    <row r="3" spans="1:11" ht="15">
      <c r="A3" s="12"/>
      <c r="B3" s="18" t="s">
        <v>60</v>
      </c>
      <c r="C3" s="53" t="str">
        <f>'Capital Investment Calculator'!B5</f>
        <v>Example: Change Green cells</v>
      </c>
      <c r="D3" s="54"/>
      <c r="E3" s="54"/>
      <c r="F3" s="54"/>
      <c r="G3" s="54"/>
      <c r="H3" s="20"/>
      <c r="I3" s="12"/>
      <c r="J3" s="12"/>
      <c r="K3" s="12"/>
    </row>
    <row r="4" spans="1:11" ht="15">
      <c r="A4" s="20"/>
      <c r="B4" s="53"/>
      <c r="C4" s="12"/>
      <c r="D4" s="54"/>
      <c r="E4" s="54"/>
      <c r="F4" s="54"/>
      <c r="G4" s="54"/>
      <c r="H4" s="8"/>
      <c r="I4" s="12"/>
      <c r="J4" s="12"/>
      <c r="K4" s="12"/>
    </row>
    <row r="5" spans="1:11" ht="12">
      <c r="A5" s="9" t="s">
        <v>58</v>
      </c>
      <c r="B5" s="55"/>
      <c r="C5" s="55"/>
      <c r="D5" s="55"/>
      <c r="E5" s="55"/>
      <c r="F5" s="55"/>
      <c r="G5" s="56"/>
      <c r="H5" s="8"/>
      <c r="I5" s="12"/>
      <c r="J5" s="12"/>
      <c r="K5" s="12"/>
    </row>
    <row r="6" spans="1:11" ht="12">
      <c r="A6" s="8" t="s">
        <v>0</v>
      </c>
      <c r="B6" s="20"/>
      <c r="C6" s="20"/>
      <c r="D6" s="20"/>
      <c r="E6" s="20"/>
      <c r="F6" s="20"/>
      <c r="G6" s="20"/>
      <c r="H6" s="20"/>
      <c r="I6" s="12"/>
      <c r="J6" s="12"/>
      <c r="K6" s="12"/>
    </row>
    <row r="7" spans="1:11" ht="12">
      <c r="A7" s="20"/>
      <c r="B7" s="20"/>
      <c r="C7" s="20"/>
      <c r="D7" s="20"/>
      <c r="E7" s="20"/>
      <c r="F7" s="20"/>
      <c r="G7" s="10" t="s">
        <v>1</v>
      </c>
      <c r="H7" s="20"/>
      <c r="I7" s="12"/>
      <c r="J7" s="12"/>
      <c r="K7" s="12"/>
    </row>
    <row r="8" spans="1:36" ht="12">
      <c r="A8" s="20"/>
      <c r="B8" s="9" t="s">
        <v>2</v>
      </c>
      <c r="C8" s="55"/>
      <c r="D8" s="55"/>
      <c r="E8" s="55"/>
      <c r="F8" s="55"/>
      <c r="G8" s="10" t="s">
        <v>3</v>
      </c>
      <c r="H8" s="20"/>
      <c r="I8" s="12"/>
      <c r="J8" s="12"/>
      <c r="K8" s="12"/>
      <c r="AE8" s="11" t="s">
        <v>4</v>
      </c>
      <c r="AJ8" s="11" t="s">
        <v>65</v>
      </c>
    </row>
    <row r="9" spans="1:36" ht="12.75">
      <c r="A9" s="8" t="s">
        <v>5</v>
      </c>
      <c r="B9" s="20"/>
      <c r="C9" s="20" t="s">
        <v>3</v>
      </c>
      <c r="D9" s="20" t="s">
        <v>3</v>
      </c>
      <c r="E9" s="20" t="s">
        <v>3</v>
      </c>
      <c r="F9" s="20" t="s">
        <v>3</v>
      </c>
      <c r="G9" s="57">
        <f>'Capital Investment Calculator'!H7</f>
        <v>2014</v>
      </c>
      <c r="H9" s="20"/>
      <c r="I9" s="12"/>
      <c r="J9" s="12"/>
      <c r="K9" s="12"/>
      <c r="AA9" s="11" t="s">
        <v>6</v>
      </c>
      <c r="AB9" s="36">
        <f>PMT(G13,G14,-G12,0)</f>
        <v>2051.0562073790206</v>
      </c>
      <c r="AE9" s="11" t="s">
        <v>7</v>
      </c>
      <c r="AJ9" s="11" t="s">
        <v>8</v>
      </c>
    </row>
    <row r="10" spans="1:41" ht="12.75">
      <c r="A10" s="8" t="s">
        <v>9</v>
      </c>
      <c r="B10" s="20"/>
      <c r="C10" s="20"/>
      <c r="D10" s="20" t="s">
        <v>3</v>
      </c>
      <c r="E10" s="20" t="s">
        <v>3</v>
      </c>
      <c r="F10" s="20" t="s">
        <v>3</v>
      </c>
      <c r="G10" s="58">
        <f>'Capital Investment Calculator'!J10</f>
        <v>11100</v>
      </c>
      <c r="H10" s="20"/>
      <c r="I10" s="12"/>
      <c r="J10" s="12"/>
      <c r="K10" s="12"/>
      <c r="AA10" s="11" t="s">
        <v>10</v>
      </c>
      <c r="AB10" s="11" t="s">
        <v>75</v>
      </c>
      <c r="AC10" s="13" t="s">
        <v>11</v>
      </c>
      <c r="AD10" s="11" t="s">
        <v>12</v>
      </c>
      <c r="AE10" s="14" t="s">
        <v>13</v>
      </c>
      <c r="AF10" s="14" t="s">
        <v>14</v>
      </c>
      <c r="AG10" s="14" t="s">
        <v>15</v>
      </c>
      <c r="AH10" s="14" t="s">
        <v>16</v>
      </c>
      <c r="AI10" s="11" t="s">
        <v>17</v>
      </c>
      <c r="AJ10" s="14" t="s">
        <v>18</v>
      </c>
      <c r="AK10" s="14" t="s">
        <v>19</v>
      </c>
      <c r="AL10" s="14" t="s">
        <v>15</v>
      </c>
      <c r="AM10" s="14" t="s">
        <v>16</v>
      </c>
      <c r="AN10" s="11" t="s">
        <v>17</v>
      </c>
      <c r="AO10" s="11" t="s">
        <v>20</v>
      </c>
    </row>
    <row r="11" spans="1:41" ht="12.75">
      <c r="A11" s="8" t="s">
        <v>21</v>
      </c>
      <c r="B11" s="20"/>
      <c r="C11" s="20"/>
      <c r="D11" s="20"/>
      <c r="E11" s="20" t="s">
        <v>3</v>
      </c>
      <c r="F11" s="20" t="s">
        <v>3</v>
      </c>
      <c r="G11" s="58">
        <f>'Capital Investment Calculator'!J10</f>
        <v>11100</v>
      </c>
      <c r="H11" s="20"/>
      <c r="I11" s="12"/>
      <c r="J11" s="12"/>
      <c r="K11" s="12"/>
      <c r="AA11" s="12">
        <v>1</v>
      </c>
      <c r="AB11" s="37">
        <f>G12</f>
        <v>8880</v>
      </c>
      <c r="AC11" s="38">
        <f>+AB$9-AD11</f>
        <v>1607.0562073790206</v>
      </c>
      <c r="AD11" s="37">
        <f aca="true" t="shared" si="0" ref="AD11:AD36">$G$13*AB11</f>
        <v>444</v>
      </c>
      <c r="AE11" s="12">
        <v>0.25</v>
      </c>
      <c r="AF11" s="12">
        <v>0.15</v>
      </c>
      <c r="AG11" s="12">
        <v>0.1071</v>
      </c>
      <c r="AH11" s="12">
        <v>0.075</v>
      </c>
      <c r="AI11" s="12">
        <v>0.0375</v>
      </c>
      <c r="AJ11" s="12">
        <f>$G$21+($G$11-$G$21)*AE11</f>
        <v>6937.5</v>
      </c>
      <c r="AK11" s="12">
        <f>$G$21+($G$11-$G$21)*AF11</f>
        <v>6382.5</v>
      </c>
      <c r="AL11" s="12">
        <f>$G$21+($G$11-$G$21)*AG11</f>
        <v>6144.405</v>
      </c>
      <c r="AM11" s="12">
        <f>$G$21+($G$11-$G$21)*AH11</f>
        <v>5966.25</v>
      </c>
      <c r="AN11" s="12">
        <f>$G$21+($G$11-$G$21)*AI11</f>
        <v>5758.125</v>
      </c>
      <c r="AO11" s="12">
        <f>IF(AA11&gt;$G$19,0,$G$21+(($G$11-G21)/$G$19)*0.5)</f>
        <v>5827.5</v>
      </c>
    </row>
    <row r="12" spans="1:41" ht="12.75">
      <c r="A12" s="8" t="s">
        <v>71</v>
      </c>
      <c r="B12" s="20"/>
      <c r="C12" s="20"/>
      <c r="D12" s="20"/>
      <c r="E12" s="20"/>
      <c r="F12" s="20"/>
      <c r="G12" s="58">
        <f>'Capital Investment Calculator'!H13</f>
        <v>8880</v>
      </c>
      <c r="H12" s="20"/>
      <c r="I12" s="12"/>
      <c r="J12" s="12"/>
      <c r="K12" s="12"/>
      <c r="AA12" s="12">
        <v>2</v>
      </c>
      <c r="AB12" s="39">
        <f aca="true" t="shared" si="1" ref="AB12:AB36">IF((AB11-AC11)&gt;0,(AB11-AC11),0)</f>
        <v>7272.943792620979</v>
      </c>
      <c r="AC12" s="38">
        <f aca="true" t="shared" si="2" ref="AC12:AC36">IF((AB$9-AD12)&gt;AB12,AB12,(AB$9-AD12))</f>
        <v>1687.4090177479716</v>
      </c>
      <c r="AD12" s="37">
        <f t="shared" si="0"/>
        <v>363.647189631049</v>
      </c>
      <c r="AE12" s="12">
        <v>0.375</v>
      </c>
      <c r="AF12" s="12">
        <v>0.225</v>
      </c>
      <c r="AG12" s="12">
        <v>0.1913</v>
      </c>
      <c r="AH12" s="12">
        <v>0.1388</v>
      </c>
      <c r="AI12" s="12">
        <v>0.07219</v>
      </c>
      <c r="AJ12" s="12">
        <f aca="true" t="shared" si="3" ref="AJ12:AJ23">($G$11-$G$21)*AE12</f>
        <v>2081.25</v>
      </c>
      <c r="AK12" s="12">
        <f aca="true" t="shared" si="4" ref="AK12:AK23">($G$11-$G$21)*AF12</f>
        <v>1248.75</v>
      </c>
      <c r="AL12" s="12">
        <f aca="true" t="shared" si="5" ref="AL12:AL23">($G$11-$G$21)*AG12</f>
        <v>1061.715</v>
      </c>
      <c r="AM12" s="12">
        <f aca="true" t="shared" si="6" ref="AM12:AM23">($G$11-$G$21)*AH12</f>
        <v>770.34</v>
      </c>
      <c r="AN12" s="12">
        <f aca="true" t="shared" si="7" ref="AN12:AN23">($G$11-$G$21)*AI12</f>
        <v>400.65450000000004</v>
      </c>
      <c r="AO12" s="12">
        <f aca="true" t="shared" si="8" ref="AO12:AO36">IF(AA12&gt;($G$19+1),0,IF(AA12=($G$19+1),$AO$11-$G$21,($G$11-$G$21)/$G$19))</f>
        <v>555</v>
      </c>
    </row>
    <row r="13" spans="1:41" ht="12.75">
      <c r="A13" s="8" t="s">
        <v>72</v>
      </c>
      <c r="B13" s="20"/>
      <c r="C13" s="20"/>
      <c r="D13" s="20"/>
      <c r="E13" s="20"/>
      <c r="F13" s="20" t="s">
        <v>3</v>
      </c>
      <c r="G13" s="59">
        <f>'Capital Investment Calculator'!H14</f>
        <v>0.05</v>
      </c>
      <c r="H13" s="20"/>
      <c r="I13" s="12"/>
      <c r="J13" s="12"/>
      <c r="K13" s="12"/>
      <c r="AA13" s="12">
        <v>3</v>
      </c>
      <c r="AB13" s="39">
        <f t="shared" si="1"/>
        <v>5585.534774873007</v>
      </c>
      <c r="AC13" s="38">
        <f t="shared" si="2"/>
        <v>1771.7794686353702</v>
      </c>
      <c r="AD13" s="37">
        <f t="shared" si="0"/>
        <v>279.27673874365036</v>
      </c>
      <c r="AE13" s="12">
        <v>0.25</v>
      </c>
      <c r="AF13" s="12">
        <v>0.1785</v>
      </c>
      <c r="AG13" s="12">
        <v>0.1503</v>
      </c>
      <c r="AH13" s="12">
        <v>0.1179</v>
      </c>
      <c r="AI13" s="12">
        <v>0.06677</v>
      </c>
      <c r="AJ13" s="12">
        <f t="shared" si="3"/>
        <v>1387.5</v>
      </c>
      <c r="AK13" s="12">
        <f t="shared" si="4"/>
        <v>990.675</v>
      </c>
      <c r="AL13" s="12">
        <f t="shared" si="5"/>
        <v>834.165</v>
      </c>
      <c r="AM13" s="12">
        <f t="shared" si="6"/>
        <v>654.345</v>
      </c>
      <c r="AN13" s="12">
        <f t="shared" si="7"/>
        <v>370.57349999999997</v>
      </c>
      <c r="AO13" s="12">
        <f t="shared" si="8"/>
        <v>555</v>
      </c>
    </row>
    <row r="14" spans="1:41" ht="12.75">
      <c r="A14" s="8" t="s">
        <v>73</v>
      </c>
      <c r="B14" s="20"/>
      <c r="C14" s="20"/>
      <c r="D14" s="20"/>
      <c r="E14" s="20" t="s">
        <v>3</v>
      </c>
      <c r="F14" s="20" t="s">
        <v>3</v>
      </c>
      <c r="G14" s="57">
        <f>'Capital Investment Calculator'!H15</f>
        <v>5</v>
      </c>
      <c r="H14" s="20"/>
      <c r="I14" s="12"/>
      <c r="J14" s="12"/>
      <c r="K14" s="12"/>
      <c r="AA14" s="12">
        <v>4</v>
      </c>
      <c r="AB14" s="39">
        <f t="shared" si="1"/>
        <v>3813.7553062376373</v>
      </c>
      <c r="AC14" s="38">
        <f t="shared" si="2"/>
        <v>1860.3684420671389</v>
      </c>
      <c r="AD14" s="37">
        <f t="shared" si="0"/>
        <v>190.6877653118819</v>
      </c>
      <c r="AE14" s="12">
        <v>0.125</v>
      </c>
      <c r="AF14" s="12">
        <v>0.1666</v>
      </c>
      <c r="AG14" s="12">
        <v>0.1225</v>
      </c>
      <c r="AH14" s="12">
        <v>0.1002</v>
      </c>
      <c r="AI14" s="12">
        <v>0.06177</v>
      </c>
      <c r="AJ14" s="12">
        <f t="shared" si="3"/>
        <v>693.75</v>
      </c>
      <c r="AK14" s="12">
        <f t="shared" si="4"/>
        <v>924.63</v>
      </c>
      <c r="AL14" s="12">
        <f t="shared" si="5"/>
        <v>679.875</v>
      </c>
      <c r="AM14" s="12">
        <f t="shared" si="6"/>
        <v>556.11</v>
      </c>
      <c r="AN14" s="12">
        <f t="shared" si="7"/>
        <v>342.82349999999997</v>
      </c>
      <c r="AO14" s="12">
        <f t="shared" si="8"/>
        <v>555</v>
      </c>
    </row>
    <row r="15" spans="1:41" ht="12.75">
      <c r="A15" s="8" t="s">
        <v>74</v>
      </c>
      <c r="B15" s="9"/>
      <c r="C15" s="55"/>
      <c r="D15" s="20"/>
      <c r="E15" s="20"/>
      <c r="F15" s="20"/>
      <c r="G15" s="57">
        <f>'Capital Investment Calculator'!H11</f>
        <v>20</v>
      </c>
      <c r="H15" s="20"/>
      <c r="I15" s="12"/>
      <c r="J15" s="12"/>
      <c r="K15" s="12"/>
      <c r="AA15" s="12">
        <v>5</v>
      </c>
      <c r="AB15" s="39">
        <f t="shared" si="1"/>
        <v>1953.3868641704985</v>
      </c>
      <c r="AC15" s="38">
        <f t="shared" si="2"/>
        <v>1953.3868641704958</v>
      </c>
      <c r="AD15" s="37">
        <f t="shared" si="0"/>
        <v>97.66934320852494</v>
      </c>
      <c r="AF15" s="12">
        <v>0.1666</v>
      </c>
      <c r="AG15" s="12">
        <v>0.1225</v>
      </c>
      <c r="AH15" s="12">
        <v>0.0874</v>
      </c>
      <c r="AI15" s="12">
        <v>0.05713</v>
      </c>
      <c r="AJ15" s="12">
        <f t="shared" si="3"/>
        <v>0</v>
      </c>
      <c r="AK15" s="12">
        <f t="shared" si="4"/>
        <v>924.63</v>
      </c>
      <c r="AL15" s="12">
        <f t="shared" si="5"/>
        <v>679.875</v>
      </c>
      <c r="AM15" s="12">
        <f t="shared" si="6"/>
        <v>485.07000000000005</v>
      </c>
      <c r="AN15" s="12">
        <f t="shared" si="7"/>
        <v>317.0715</v>
      </c>
      <c r="AO15" s="12">
        <f t="shared" si="8"/>
        <v>555</v>
      </c>
    </row>
    <row r="16" spans="1:41" ht="12.75">
      <c r="A16" s="20"/>
      <c r="B16" s="9" t="s">
        <v>22</v>
      </c>
      <c r="C16" s="55"/>
      <c r="D16" s="55"/>
      <c r="E16" s="55"/>
      <c r="F16" s="20"/>
      <c r="G16" s="60"/>
      <c r="H16" s="10" t="str">
        <f>'Capital Investment Calculator'!I17</f>
        <v>Soc Security</v>
      </c>
      <c r="I16" s="10" t="str">
        <f>'Capital Investment Calculator'!J17</f>
        <v>Federal</v>
      </c>
      <c r="J16" s="10" t="str">
        <f>'Capital Investment Calculator'!K17</f>
        <v>State</v>
      </c>
      <c r="K16" s="12"/>
      <c r="AA16" s="12">
        <v>6</v>
      </c>
      <c r="AB16" s="39">
        <f t="shared" si="1"/>
        <v>2.7284841053187847E-12</v>
      </c>
      <c r="AC16" s="38">
        <f t="shared" si="2"/>
        <v>2.7284841053187847E-12</v>
      </c>
      <c r="AD16" s="37">
        <f t="shared" si="0"/>
        <v>1.3642420526593926E-13</v>
      </c>
      <c r="AF16" s="12">
        <f>0.0833+0.03</f>
        <v>0.1133</v>
      </c>
      <c r="AG16" s="12">
        <v>0.1255</v>
      </c>
      <c r="AH16" s="12">
        <v>0.0874</v>
      </c>
      <c r="AI16" s="12">
        <v>0.05285</v>
      </c>
      <c r="AJ16" s="12">
        <f t="shared" si="3"/>
        <v>0</v>
      </c>
      <c r="AK16" s="12">
        <f t="shared" si="4"/>
        <v>628.8149999999999</v>
      </c>
      <c r="AL16" s="12">
        <f t="shared" si="5"/>
        <v>696.525</v>
      </c>
      <c r="AM16" s="12">
        <f t="shared" si="6"/>
        <v>485.07000000000005</v>
      </c>
      <c r="AN16" s="12">
        <f t="shared" si="7"/>
        <v>293.3175</v>
      </c>
      <c r="AO16" s="12">
        <f t="shared" si="8"/>
        <v>555</v>
      </c>
    </row>
    <row r="17" spans="1:41" ht="12.75">
      <c r="A17" s="8" t="s">
        <v>23</v>
      </c>
      <c r="B17" s="20"/>
      <c r="C17" s="20"/>
      <c r="D17" s="20"/>
      <c r="E17" s="20"/>
      <c r="F17" s="20" t="s">
        <v>3</v>
      </c>
      <c r="G17" s="59">
        <f>'Capital Investment Calculator'!H18</f>
        <v>0.3455</v>
      </c>
      <c r="H17" s="109">
        <f>'Capital Investment Calculator'!I18</f>
        <v>0.153</v>
      </c>
      <c r="I17" s="109">
        <f>'Capital Investment Calculator'!J18</f>
        <v>0.15</v>
      </c>
      <c r="J17" s="109">
        <f>'Capital Investment Calculator'!K18</f>
        <v>0.0425</v>
      </c>
      <c r="K17" s="12"/>
      <c r="AA17" s="12">
        <v>7</v>
      </c>
      <c r="AB17" s="39">
        <f t="shared" si="1"/>
        <v>0</v>
      </c>
      <c r="AC17" s="38">
        <f t="shared" si="2"/>
        <v>0</v>
      </c>
      <c r="AD17" s="37">
        <f t="shared" si="0"/>
        <v>0</v>
      </c>
      <c r="AG17" s="12">
        <v>0.1225</v>
      </c>
      <c r="AH17" s="12">
        <v>0.0874</v>
      </c>
      <c r="AI17" s="12">
        <v>0.04888</v>
      </c>
      <c r="AJ17" s="12">
        <f t="shared" si="3"/>
        <v>0</v>
      </c>
      <c r="AK17" s="12">
        <f t="shared" si="4"/>
        <v>0</v>
      </c>
      <c r="AL17" s="12">
        <f t="shared" si="5"/>
        <v>679.875</v>
      </c>
      <c r="AM17" s="12">
        <f t="shared" si="6"/>
        <v>485.07000000000005</v>
      </c>
      <c r="AN17" s="12">
        <f t="shared" si="7"/>
        <v>271.284</v>
      </c>
      <c r="AO17" s="12">
        <f t="shared" si="8"/>
        <v>555</v>
      </c>
    </row>
    <row r="18" spans="1:41" ht="12.75">
      <c r="A18" s="8" t="s">
        <v>24</v>
      </c>
      <c r="B18" s="20"/>
      <c r="C18" s="20"/>
      <c r="D18" s="20"/>
      <c r="E18" s="20"/>
      <c r="F18" s="20" t="s">
        <v>3</v>
      </c>
      <c r="G18" s="57">
        <f>'Capital Investment Calculator'!H19</f>
        <v>7</v>
      </c>
      <c r="H18" s="20"/>
      <c r="I18" s="12"/>
      <c r="J18" s="12"/>
      <c r="K18" s="12"/>
      <c r="AA18" s="12">
        <v>8</v>
      </c>
      <c r="AB18" s="39">
        <f t="shared" si="1"/>
        <v>0</v>
      </c>
      <c r="AC18" s="38">
        <f t="shared" si="2"/>
        <v>0</v>
      </c>
      <c r="AD18" s="37">
        <f t="shared" si="0"/>
        <v>0</v>
      </c>
      <c r="AG18" s="12">
        <f>0.0613-0.003</f>
        <v>0.0583</v>
      </c>
      <c r="AH18" s="12">
        <v>0.0874</v>
      </c>
      <c r="AI18" s="12">
        <v>0.04522</v>
      </c>
      <c r="AJ18" s="12">
        <f t="shared" si="3"/>
        <v>0</v>
      </c>
      <c r="AK18" s="12">
        <f t="shared" si="4"/>
        <v>0</v>
      </c>
      <c r="AL18" s="12">
        <f t="shared" si="5"/>
        <v>323.565</v>
      </c>
      <c r="AM18" s="12">
        <f t="shared" si="6"/>
        <v>485.07000000000005</v>
      </c>
      <c r="AN18" s="12">
        <f t="shared" si="7"/>
        <v>250.97100000000003</v>
      </c>
      <c r="AO18" s="12">
        <f t="shared" si="8"/>
        <v>555</v>
      </c>
    </row>
    <row r="19" spans="1:41" ht="12.75">
      <c r="A19" s="8" t="s">
        <v>25</v>
      </c>
      <c r="B19" s="20"/>
      <c r="C19" s="20"/>
      <c r="D19" s="20"/>
      <c r="E19" s="20" t="s">
        <v>3</v>
      </c>
      <c r="F19" s="20" t="s">
        <v>3</v>
      </c>
      <c r="G19" s="57">
        <f>'Capital Investment Calculator'!H20</f>
        <v>10</v>
      </c>
      <c r="H19" s="20"/>
      <c r="I19" s="12"/>
      <c r="J19" s="12"/>
      <c r="K19" s="12"/>
      <c r="AA19" s="12">
        <v>9</v>
      </c>
      <c r="AB19" s="39">
        <f t="shared" si="1"/>
        <v>0</v>
      </c>
      <c r="AC19" s="38">
        <f t="shared" si="2"/>
        <v>0</v>
      </c>
      <c r="AD19" s="37">
        <f t="shared" si="0"/>
        <v>0</v>
      </c>
      <c r="AH19" s="12">
        <v>0.0874</v>
      </c>
      <c r="AI19" s="12">
        <v>0.04522</v>
      </c>
      <c r="AJ19" s="12">
        <f t="shared" si="3"/>
        <v>0</v>
      </c>
      <c r="AK19" s="12">
        <f t="shared" si="4"/>
        <v>0</v>
      </c>
      <c r="AL19" s="12">
        <f t="shared" si="5"/>
        <v>0</v>
      </c>
      <c r="AM19" s="12">
        <f t="shared" si="6"/>
        <v>485.07000000000005</v>
      </c>
      <c r="AN19" s="12">
        <f t="shared" si="7"/>
        <v>250.97100000000003</v>
      </c>
      <c r="AO19" s="12">
        <f t="shared" si="8"/>
        <v>555</v>
      </c>
    </row>
    <row r="20" spans="1:41" ht="12.75">
      <c r="A20" s="8" t="s">
        <v>26</v>
      </c>
      <c r="B20" s="20"/>
      <c r="C20" s="20"/>
      <c r="D20" s="20"/>
      <c r="E20" s="20"/>
      <c r="F20" s="20" t="s">
        <v>3</v>
      </c>
      <c r="G20" s="57">
        <f>'Capital Investment Calculator'!H21</f>
        <v>1</v>
      </c>
      <c r="H20" s="20"/>
      <c r="I20" s="12"/>
      <c r="J20" s="12"/>
      <c r="K20" s="12"/>
      <c r="AA20" s="12">
        <v>10</v>
      </c>
      <c r="AB20" s="39">
        <f t="shared" si="1"/>
        <v>0</v>
      </c>
      <c r="AC20" s="38">
        <f t="shared" si="2"/>
        <v>0</v>
      </c>
      <c r="AD20" s="37">
        <f t="shared" si="0"/>
        <v>0</v>
      </c>
      <c r="AH20" s="12">
        <v>0.0874</v>
      </c>
      <c r="AI20" s="12">
        <v>0.04522</v>
      </c>
      <c r="AJ20" s="12">
        <f t="shared" si="3"/>
        <v>0</v>
      </c>
      <c r="AK20" s="12">
        <f t="shared" si="4"/>
        <v>0</v>
      </c>
      <c r="AL20" s="12">
        <f t="shared" si="5"/>
        <v>0</v>
      </c>
      <c r="AM20" s="12">
        <f t="shared" si="6"/>
        <v>485.07000000000005</v>
      </c>
      <c r="AN20" s="12">
        <f t="shared" si="7"/>
        <v>250.97100000000003</v>
      </c>
      <c r="AO20" s="12">
        <f t="shared" si="8"/>
        <v>555</v>
      </c>
    </row>
    <row r="21" spans="1:41" ht="12.75">
      <c r="A21" s="8" t="s">
        <v>49</v>
      </c>
      <c r="B21" s="20"/>
      <c r="C21" s="20"/>
      <c r="D21" s="20"/>
      <c r="E21" s="20"/>
      <c r="F21" s="20"/>
      <c r="G21" s="58">
        <f>'Capital Investment Calculator'!H22</f>
        <v>5550</v>
      </c>
      <c r="H21" s="20"/>
      <c r="I21" s="12"/>
      <c r="J21" s="12"/>
      <c r="K21" s="12"/>
      <c r="AA21" s="12">
        <v>11</v>
      </c>
      <c r="AB21" s="39">
        <f t="shared" si="1"/>
        <v>0</v>
      </c>
      <c r="AC21" s="38">
        <f t="shared" si="2"/>
        <v>0</v>
      </c>
      <c r="AD21" s="37">
        <f t="shared" si="0"/>
        <v>0</v>
      </c>
      <c r="AH21" s="12">
        <v>0.0437</v>
      </c>
      <c r="AI21" s="12">
        <v>0.04522</v>
      </c>
      <c r="AJ21" s="12">
        <f t="shared" si="3"/>
        <v>0</v>
      </c>
      <c r="AK21" s="12">
        <f t="shared" si="4"/>
        <v>0</v>
      </c>
      <c r="AL21" s="12">
        <f t="shared" si="5"/>
        <v>0</v>
      </c>
      <c r="AM21" s="12">
        <f t="shared" si="6"/>
        <v>242.53500000000003</v>
      </c>
      <c r="AN21" s="12">
        <f t="shared" si="7"/>
        <v>250.97100000000003</v>
      </c>
      <c r="AO21" s="12">
        <f t="shared" si="8"/>
        <v>277.5</v>
      </c>
    </row>
    <row r="22" spans="1:41" ht="12.75">
      <c r="A22" s="8" t="s">
        <v>27</v>
      </c>
      <c r="B22" s="20"/>
      <c r="C22" s="20"/>
      <c r="D22" s="20"/>
      <c r="E22" s="20"/>
      <c r="F22" s="20" t="s">
        <v>3</v>
      </c>
      <c r="G22" s="59">
        <f>'Capital Investment Calculator'!H23</f>
        <v>0.1</v>
      </c>
      <c r="H22" s="20" t="s">
        <v>69</v>
      </c>
      <c r="I22" s="12"/>
      <c r="J22" s="12"/>
      <c r="K22" s="12"/>
      <c r="AA22" s="12">
        <v>12</v>
      </c>
      <c r="AB22" s="39">
        <f t="shared" si="1"/>
        <v>0</v>
      </c>
      <c r="AC22" s="38">
        <f t="shared" si="2"/>
        <v>0</v>
      </c>
      <c r="AD22" s="37">
        <f t="shared" si="0"/>
        <v>0</v>
      </c>
      <c r="AI22" s="12">
        <v>0.04522</v>
      </c>
      <c r="AJ22" s="12">
        <f t="shared" si="3"/>
        <v>0</v>
      </c>
      <c r="AK22" s="12">
        <f t="shared" si="4"/>
        <v>0</v>
      </c>
      <c r="AL22" s="12">
        <f t="shared" si="5"/>
        <v>0</v>
      </c>
      <c r="AM22" s="12">
        <f t="shared" si="6"/>
        <v>0</v>
      </c>
      <c r="AN22" s="12">
        <f t="shared" si="7"/>
        <v>250.97100000000003</v>
      </c>
      <c r="AO22" s="12">
        <f t="shared" si="8"/>
        <v>0</v>
      </c>
    </row>
    <row r="23" spans="1:41" ht="12.75">
      <c r="A23" s="8" t="s">
        <v>76</v>
      </c>
      <c r="B23" s="20"/>
      <c r="C23" s="20"/>
      <c r="D23" s="20"/>
      <c r="E23" s="20"/>
      <c r="F23" s="20"/>
      <c r="G23" s="59">
        <f>G22*(1-G17)</f>
        <v>0.06545000000000001</v>
      </c>
      <c r="H23" s="20"/>
      <c r="I23" s="12"/>
      <c r="J23" s="12"/>
      <c r="K23" s="12"/>
      <c r="AA23" s="12">
        <v>13</v>
      </c>
      <c r="AB23" s="39">
        <f t="shared" si="1"/>
        <v>0</v>
      </c>
      <c r="AC23" s="38">
        <f t="shared" si="2"/>
        <v>0</v>
      </c>
      <c r="AD23" s="37">
        <f t="shared" si="0"/>
        <v>0</v>
      </c>
      <c r="AI23" s="12">
        <v>0.04522</v>
      </c>
      <c r="AJ23" s="12">
        <f t="shared" si="3"/>
        <v>0</v>
      </c>
      <c r="AK23" s="12">
        <f t="shared" si="4"/>
        <v>0</v>
      </c>
      <c r="AL23" s="12">
        <f t="shared" si="5"/>
        <v>0</v>
      </c>
      <c r="AM23" s="12">
        <f t="shared" si="6"/>
        <v>0</v>
      </c>
      <c r="AN23" s="12">
        <f t="shared" si="7"/>
        <v>250.97100000000003</v>
      </c>
      <c r="AO23" s="12">
        <f t="shared" si="8"/>
        <v>0</v>
      </c>
    </row>
    <row r="24" spans="1:41" ht="12">
      <c r="A24" s="8"/>
      <c r="B24" s="20"/>
      <c r="C24" s="20"/>
      <c r="D24" s="20"/>
      <c r="E24" s="20"/>
      <c r="F24" s="20"/>
      <c r="G24" s="20"/>
      <c r="H24" s="20"/>
      <c r="I24" s="12"/>
      <c r="J24" s="12"/>
      <c r="K24" s="12"/>
      <c r="AA24" s="12">
        <v>14</v>
      </c>
      <c r="AB24" s="39">
        <f t="shared" si="1"/>
        <v>0</v>
      </c>
      <c r="AC24" s="38">
        <f t="shared" si="2"/>
        <v>0</v>
      </c>
      <c r="AD24" s="37">
        <f t="shared" si="0"/>
        <v>0</v>
      </c>
      <c r="AI24" s="12">
        <v>0.04522</v>
      </c>
      <c r="AJ24" s="12">
        <f aca="true" t="shared" si="9" ref="AJ24:AN31">($G$11-$G$21)*AE24</f>
        <v>0</v>
      </c>
      <c r="AK24" s="12">
        <f t="shared" si="9"/>
        <v>0</v>
      </c>
      <c r="AL24" s="12">
        <f t="shared" si="9"/>
        <v>0</v>
      </c>
      <c r="AM24" s="12">
        <f t="shared" si="9"/>
        <v>0</v>
      </c>
      <c r="AN24" s="12">
        <f t="shared" si="9"/>
        <v>250.97100000000003</v>
      </c>
      <c r="AO24" s="12">
        <f t="shared" si="8"/>
        <v>0</v>
      </c>
    </row>
    <row r="25" spans="1:41" ht="16.5">
      <c r="A25" s="9" t="s">
        <v>56</v>
      </c>
      <c r="B25" s="55"/>
      <c r="C25" s="55"/>
      <c r="D25" s="55"/>
      <c r="E25" s="12"/>
      <c r="F25" s="15"/>
      <c r="G25" s="32">
        <f>J63*(-1)</f>
        <v>536.2235800477106</v>
      </c>
      <c r="H25" s="20"/>
      <c r="I25" s="12"/>
      <c r="J25" s="12"/>
      <c r="K25" s="12"/>
      <c r="AA25" s="12">
        <v>15</v>
      </c>
      <c r="AB25" s="39">
        <f t="shared" si="1"/>
        <v>0</v>
      </c>
      <c r="AC25" s="38">
        <f t="shared" si="2"/>
        <v>0</v>
      </c>
      <c r="AD25" s="37">
        <f t="shared" si="0"/>
        <v>0</v>
      </c>
      <c r="AI25" s="12">
        <v>0.04522</v>
      </c>
      <c r="AJ25" s="12">
        <f t="shared" si="9"/>
        <v>0</v>
      </c>
      <c r="AK25" s="12">
        <f t="shared" si="9"/>
        <v>0</v>
      </c>
      <c r="AL25" s="12">
        <f t="shared" si="9"/>
        <v>0</v>
      </c>
      <c r="AM25" s="12">
        <f t="shared" si="9"/>
        <v>0</v>
      </c>
      <c r="AN25" s="12">
        <f t="shared" si="9"/>
        <v>250.97100000000003</v>
      </c>
      <c r="AO25" s="12">
        <f t="shared" si="8"/>
        <v>0</v>
      </c>
    </row>
    <row r="26" spans="1:41" ht="12">
      <c r="A26" s="55"/>
      <c r="B26" s="55"/>
      <c r="C26" s="55"/>
      <c r="D26" s="55"/>
      <c r="E26" s="55"/>
      <c r="F26" s="16"/>
      <c r="G26" s="61"/>
      <c r="H26" s="20"/>
      <c r="I26" s="12"/>
      <c r="J26" s="12"/>
      <c r="K26" s="12"/>
      <c r="AA26" s="12">
        <v>16</v>
      </c>
      <c r="AB26" s="39">
        <f t="shared" si="1"/>
        <v>0</v>
      </c>
      <c r="AC26" s="38">
        <f t="shared" si="2"/>
        <v>0</v>
      </c>
      <c r="AD26" s="37">
        <f t="shared" si="0"/>
        <v>0</v>
      </c>
      <c r="AI26" s="12">
        <v>0.04522</v>
      </c>
      <c r="AJ26" s="12">
        <f t="shared" si="9"/>
        <v>0</v>
      </c>
      <c r="AK26" s="12">
        <f t="shared" si="9"/>
        <v>0</v>
      </c>
      <c r="AL26" s="12">
        <f t="shared" si="9"/>
        <v>0</v>
      </c>
      <c r="AM26" s="12">
        <f t="shared" si="9"/>
        <v>0</v>
      </c>
      <c r="AN26" s="12">
        <f t="shared" si="9"/>
        <v>250.97100000000003</v>
      </c>
      <c r="AO26" s="12">
        <f t="shared" si="8"/>
        <v>0</v>
      </c>
    </row>
    <row r="27" spans="1:41" ht="12">
      <c r="A27" s="55"/>
      <c r="B27" s="55"/>
      <c r="C27" s="55"/>
      <c r="D27" s="55"/>
      <c r="E27" s="55"/>
      <c r="F27" s="15"/>
      <c r="G27" s="15"/>
      <c r="H27" s="20"/>
      <c r="I27" s="12"/>
      <c r="J27" s="12"/>
      <c r="K27" s="12"/>
      <c r="AA27" s="12">
        <v>17</v>
      </c>
      <c r="AB27" s="39">
        <f t="shared" si="1"/>
        <v>0</v>
      </c>
      <c r="AC27" s="38">
        <f t="shared" si="2"/>
        <v>0</v>
      </c>
      <c r="AD27" s="37">
        <f t="shared" si="0"/>
        <v>0</v>
      </c>
      <c r="AI27" s="12">
        <v>0.04522</v>
      </c>
      <c r="AJ27" s="12">
        <f t="shared" si="9"/>
        <v>0</v>
      </c>
      <c r="AK27" s="12">
        <f t="shared" si="9"/>
        <v>0</v>
      </c>
      <c r="AL27" s="12">
        <f t="shared" si="9"/>
        <v>0</v>
      </c>
      <c r="AM27" s="12">
        <f t="shared" si="9"/>
        <v>0</v>
      </c>
      <c r="AN27" s="12">
        <f t="shared" si="9"/>
        <v>250.97100000000003</v>
      </c>
      <c r="AO27" s="12">
        <f t="shared" si="8"/>
        <v>0</v>
      </c>
    </row>
    <row r="28" spans="1:41" ht="12">
      <c r="A28" s="12"/>
      <c r="B28" s="20"/>
      <c r="C28" s="20"/>
      <c r="D28" s="20"/>
      <c r="E28" s="18" t="s">
        <v>62</v>
      </c>
      <c r="F28" s="20" t="str">
        <f>C3</f>
        <v>Example: Change Green cells</v>
      </c>
      <c r="G28" s="20"/>
      <c r="H28" s="20"/>
      <c r="I28" s="12"/>
      <c r="J28" s="12"/>
      <c r="K28" s="12"/>
      <c r="AA28" s="12">
        <v>18</v>
      </c>
      <c r="AB28" s="39">
        <f t="shared" si="1"/>
        <v>0</v>
      </c>
      <c r="AC28" s="38">
        <f t="shared" si="2"/>
        <v>0</v>
      </c>
      <c r="AD28" s="37">
        <f t="shared" si="0"/>
        <v>0</v>
      </c>
      <c r="AI28" s="12">
        <v>0.04522</v>
      </c>
      <c r="AJ28" s="12">
        <f t="shared" si="9"/>
        <v>0</v>
      </c>
      <c r="AK28" s="12">
        <f t="shared" si="9"/>
        <v>0</v>
      </c>
      <c r="AL28" s="12">
        <f t="shared" si="9"/>
        <v>0</v>
      </c>
      <c r="AM28" s="12">
        <f t="shared" si="9"/>
        <v>0</v>
      </c>
      <c r="AN28" s="12">
        <f t="shared" si="9"/>
        <v>250.97100000000003</v>
      </c>
      <c r="AO28" s="12">
        <f t="shared" si="8"/>
        <v>0</v>
      </c>
    </row>
    <row r="29" spans="1:41" ht="12">
      <c r="A29" s="8" t="s">
        <v>28</v>
      </c>
      <c r="B29" s="20"/>
      <c r="C29" s="20"/>
      <c r="D29" s="20"/>
      <c r="E29" s="20"/>
      <c r="F29" s="20"/>
      <c r="G29" s="20"/>
      <c r="H29" s="20"/>
      <c r="I29" s="12"/>
      <c r="J29" s="12"/>
      <c r="K29" s="12"/>
      <c r="AA29" s="12">
        <v>19</v>
      </c>
      <c r="AB29" s="39">
        <f t="shared" si="1"/>
        <v>0</v>
      </c>
      <c r="AC29" s="38">
        <f t="shared" si="2"/>
        <v>0</v>
      </c>
      <c r="AD29" s="37">
        <f t="shared" si="0"/>
        <v>0</v>
      </c>
      <c r="AI29" s="12">
        <v>0.04522</v>
      </c>
      <c r="AJ29" s="12">
        <f t="shared" si="9"/>
        <v>0</v>
      </c>
      <c r="AK29" s="12">
        <f t="shared" si="9"/>
        <v>0</v>
      </c>
      <c r="AL29" s="12">
        <f t="shared" si="9"/>
        <v>0</v>
      </c>
      <c r="AM29" s="12">
        <f t="shared" si="9"/>
        <v>0</v>
      </c>
      <c r="AN29" s="12">
        <f t="shared" si="9"/>
        <v>250.97100000000003</v>
      </c>
      <c r="AO29" s="12">
        <f t="shared" si="8"/>
        <v>0</v>
      </c>
    </row>
    <row r="30" spans="1:41" ht="12">
      <c r="A30" s="20">
        <f>A36+G15</f>
        <v>2034</v>
      </c>
      <c r="B30" s="20" t="s">
        <v>61</v>
      </c>
      <c r="C30" s="20"/>
      <c r="D30" s="20"/>
      <c r="E30" s="12"/>
      <c r="F30" s="12"/>
      <c r="G30" s="20"/>
      <c r="H30" s="8" t="s">
        <v>29</v>
      </c>
      <c r="I30" s="20"/>
      <c r="J30" s="10" t="s">
        <v>30</v>
      </c>
      <c r="K30" s="12"/>
      <c r="L30" s="22"/>
      <c r="AA30" s="12">
        <v>20</v>
      </c>
      <c r="AB30" s="39">
        <f t="shared" si="1"/>
        <v>0</v>
      </c>
      <c r="AC30" s="38">
        <f t="shared" si="2"/>
        <v>0</v>
      </c>
      <c r="AD30" s="37">
        <f t="shared" si="0"/>
        <v>0</v>
      </c>
      <c r="AI30" s="12">
        <v>0.04522</v>
      </c>
      <c r="AJ30" s="12">
        <f t="shared" si="9"/>
        <v>0</v>
      </c>
      <c r="AK30" s="12">
        <f t="shared" si="9"/>
        <v>0</v>
      </c>
      <c r="AL30" s="12">
        <f t="shared" si="9"/>
        <v>0</v>
      </c>
      <c r="AM30" s="12">
        <f t="shared" si="9"/>
        <v>0</v>
      </c>
      <c r="AN30" s="12">
        <f t="shared" si="9"/>
        <v>250.97100000000003</v>
      </c>
      <c r="AO30" s="12">
        <f t="shared" si="8"/>
        <v>0</v>
      </c>
    </row>
    <row r="31" spans="1:41" ht="12">
      <c r="A31" s="8" t="s">
        <v>31</v>
      </c>
      <c r="B31" s="10" t="s">
        <v>32</v>
      </c>
      <c r="C31" s="10"/>
      <c r="D31" s="10"/>
      <c r="E31" s="14"/>
      <c r="F31" s="12"/>
      <c r="G31" s="10" t="s">
        <v>33</v>
      </c>
      <c r="H31" s="10" t="s">
        <v>34</v>
      </c>
      <c r="I31" s="10"/>
      <c r="J31" s="10" t="s">
        <v>35</v>
      </c>
      <c r="K31" s="12"/>
      <c r="L31" s="10"/>
      <c r="AA31" s="12">
        <v>21</v>
      </c>
      <c r="AB31" s="39">
        <f t="shared" si="1"/>
        <v>0</v>
      </c>
      <c r="AC31" s="38">
        <f t="shared" si="2"/>
        <v>0</v>
      </c>
      <c r="AD31" s="37">
        <f t="shared" si="0"/>
        <v>0</v>
      </c>
      <c r="AI31" s="12">
        <f>(0.04522/2)-0.00756</f>
        <v>0.015050000000000001</v>
      </c>
      <c r="AJ31" s="12">
        <f t="shared" si="9"/>
        <v>0</v>
      </c>
      <c r="AK31" s="12">
        <f t="shared" si="9"/>
        <v>0</v>
      </c>
      <c r="AL31" s="12">
        <f t="shared" si="9"/>
        <v>0</v>
      </c>
      <c r="AM31" s="12">
        <f t="shared" si="9"/>
        <v>0</v>
      </c>
      <c r="AN31" s="12">
        <f t="shared" si="9"/>
        <v>83.5275</v>
      </c>
      <c r="AO31" s="12">
        <f t="shared" si="8"/>
        <v>0</v>
      </c>
    </row>
    <row r="32" spans="1:41" ht="12">
      <c r="A32" s="20"/>
      <c r="B32" s="10" t="s">
        <v>36</v>
      </c>
      <c r="C32" s="10" t="s">
        <v>37</v>
      </c>
      <c r="D32" s="10" t="s">
        <v>38</v>
      </c>
      <c r="E32" s="10" t="s">
        <v>64</v>
      </c>
      <c r="F32" s="14" t="s">
        <v>68</v>
      </c>
      <c r="G32" s="10" t="s">
        <v>39</v>
      </c>
      <c r="H32" s="10" t="s">
        <v>40</v>
      </c>
      <c r="I32" s="10" t="s">
        <v>41</v>
      </c>
      <c r="J32" s="10" t="s">
        <v>42</v>
      </c>
      <c r="K32" s="12"/>
      <c r="L32" s="10"/>
      <c r="AA32" s="12">
        <v>22</v>
      </c>
      <c r="AB32" s="39">
        <f t="shared" si="1"/>
        <v>0</v>
      </c>
      <c r="AC32" s="38">
        <f t="shared" si="2"/>
        <v>0</v>
      </c>
      <c r="AD32" s="37">
        <f t="shared" si="0"/>
        <v>0</v>
      </c>
      <c r="AE32" s="12">
        <f>SUM(AE11:AE31)</f>
        <v>1</v>
      </c>
      <c r="AF32" s="12">
        <f>SUM(AF11:AF31)</f>
        <v>0.9999999999999999</v>
      </c>
      <c r="AG32" s="12">
        <f>SUM(AG11:AG31)</f>
        <v>1</v>
      </c>
      <c r="AH32" s="12">
        <f>SUM(AH11:AH31)</f>
        <v>1.0000000000000002</v>
      </c>
      <c r="AI32" s="12">
        <f>SUM(AI11:AI31)</f>
        <v>1.0000000000000002</v>
      </c>
      <c r="AO32" s="12">
        <f t="shared" si="8"/>
        <v>0</v>
      </c>
    </row>
    <row r="33" spans="1:41" ht="12">
      <c r="A33" s="18" t="s">
        <v>43</v>
      </c>
      <c r="B33" s="10" t="s">
        <v>6</v>
      </c>
      <c r="C33" s="10" t="s">
        <v>6</v>
      </c>
      <c r="D33" s="10" t="s">
        <v>44</v>
      </c>
      <c r="E33" s="10" t="s">
        <v>63</v>
      </c>
      <c r="F33" s="10" t="s">
        <v>1</v>
      </c>
      <c r="G33" s="10" t="s">
        <v>45</v>
      </c>
      <c r="H33" s="10" t="s">
        <v>39</v>
      </c>
      <c r="I33" s="10" t="s">
        <v>39</v>
      </c>
      <c r="J33" s="10" t="s">
        <v>55</v>
      </c>
      <c r="K33" s="12"/>
      <c r="AA33" s="12">
        <v>23</v>
      </c>
      <c r="AB33" s="39">
        <f t="shared" si="1"/>
        <v>0</v>
      </c>
      <c r="AC33" s="38">
        <f t="shared" si="2"/>
        <v>0</v>
      </c>
      <c r="AD33" s="37">
        <f t="shared" si="0"/>
        <v>0</v>
      </c>
      <c r="AO33" s="12">
        <f t="shared" si="8"/>
        <v>0</v>
      </c>
    </row>
    <row r="34" spans="1:41" ht="12">
      <c r="A34" s="31" t="s">
        <v>46</v>
      </c>
      <c r="B34" s="31" t="s">
        <v>46</v>
      </c>
      <c r="C34" s="31" t="s">
        <v>46</v>
      </c>
      <c r="D34" s="31" t="s">
        <v>46</v>
      </c>
      <c r="E34" s="31" t="s">
        <v>46</v>
      </c>
      <c r="F34" s="31" t="s">
        <v>46</v>
      </c>
      <c r="G34" s="31" t="s">
        <v>46</v>
      </c>
      <c r="H34" s="31" t="s">
        <v>46</v>
      </c>
      <c r="I34" s="31" t="s">
        <v>46</v>
      </c>
      <c r="J34" s="31" t="s">
        <v>46</v>
      </c>
      <c r="K34" s="12"/>
      <c r="L34" s="68"/>
      <c r="AA34" s="12">
        <v>24</v>
      </c>
      <c r="AB34" s="39">
        <f t="shared" si="1"/>
        <v>0</v>
      </c>
      <c r="AC34" s="38">
        <f t="shared" si="2"/>
        <v>0</v>
      </c>
      <c r="AD34" s="37">
        <f t="shared" si="0"/>
        <v>0</v>
      </c>
      <c r="AO34" s="12">
        <f t="shared" si="8"/>
        <v>0</v>
      </c>
    </row>
    <row r="35" spans="1:41" ht="12">
      <c r="A35" s="41" t="s">
        <v>77</v>
      </c>
      <c r="B35" s="42">
        <f>+G10-G12</f>
        <v>2220</v>
      </c>
      <c r="C35" s="31"/>
      <c r="D35" s="31"/>
      <c r="E35" s="31"/>
      <c r="F35" s="31"/>
      <c r="G35" s="21">
        <f>(C35+D35-E35-F35)*$G$17</f>
        <v>0</v>
      </c>
      <c r="H35" s="21">
        <f>B35+C35-E35-F35</f>
        <v>2220</v>
      </c>
      <c r="I35" s="21">
        <f aca="true" t="shared" si="10" ref="I35:I61">H35-G35</f>
        <v>2220</v>
      </c>
      <c r="J35" s="21">
        <f>I35</f>
        <v>2220</v>
      </c>
      <c r="K35" s="12"/>
      <c r="L35" s="2"/>
      <c r="AA35" s="12">
        <v>25</v>
      </c>
      <c r="AB35" s="39">
        <f t="shared" si="1"/>
        <v>0</v>
      </c>
      <c r="AC35" s="38">
        <f t="shared" si="2"/>
        <v>0</v>
      </c>
      <c r="AD35" s="37">
        <f t="shared" si="0"/>
        <v>0</v>
      </c>
      <c r="AO35" s="12">
        <f t="shared" si="8"/>
        <v>0</v>
      </c>
    </row>
    <row r="36" spans="1:41" ht="12">
      <c r="A36" s="20">
        <f>G9</f>
        <v>2014</v>
      </c>
      <c r="B36" s="21">
        <f aca="true" t="shared" si="11" ref="B36:B61">AC11</f>
        <v>1607.0562073790206</v>
      </c>
      <c r="C36" s="21">
        <f aca="true" t="shared" si="12" ref="C36:C61">AD11</f>
        <v>444</v>
      </c>
      <c r="D36" s="21">
        <f aca="true" t="shared" si="13" ref="D36:D61">IF($G$20=2,AO11,IF($G$18=3,AJ11,IF($G$18=5,AK11,IF($G$18=7,AL11,IF($G$18=10,AM11,IF($G$18=20,AN11,0))))))</f>
        <v>6144.405</v>
      </c>
      <c r="E36" s="37">
        <f>IF(A36&lt;$A$30,'Capital Investment Calculator'!$J$53,0)</f>
        <v>1250</v>
      </c>
      <c r="F36" s="37">
        <f>IF(A36=$A$30-1,'Capital Investment Calculator'!$H$12,0)</f>
        <v>0</v>
      </c>
      <c r="G36" s="21">
        <f>(C36+D36-E36)*$G$17-(F36*(I$17+J$17))</f>
        <v>1844.4189274999999</v>
      </c>
      <c r="H36" s="21">
        <f>B36+C36-E36-F36</f>
        <v>801.0562073790206</v>
      </c>
      <c r="I36" s="21">
        <f t="shared" si="10"/>
        <v>-1043.3627201209792</v>
      </c>
      <c r="J36" s="21">
        <f>I36/((1+$G$22)^AA11)</f>
        <v>-948.5115637463447</v>
      </c>
      <c r="K36" s="12"/>
      <c r="L36" s="2"/>
      <c r="AA36" s="12">
        <v>26</v>
      </c>
      <c r="AB36" s="39">
        <f t="shared" si="1"/>
        <v>0</v>
      </c>
      <c r="AC36" s="38">
        <f t="shared" si="2"/>
        <v>0</v>
      </c>
      <c r="AD36" s="37">
        <f t="shared" si="0"/>
        <v>0</v>
      </c>
      <c r="AO36" s="12">
        <f t="shared" si="8"/>
        <v>0</v>
      </c>
    </row>
    <row r="37" spans="1:30" ht="12">
      <c r="A37" s="20">
        <f aca="true" t="shared" si="14" ref="A37:A61">A36+1</f>
        <v>2015</v>
      </c>
      <c r="B37" s="21">
        <f t="shared" si="11"/>
        <v>1687.4090177479716</v>
      </c>
      <c r="C37" s="21">
        <f t="shared" si="12"/>
        <v>363.647189631049</v>
      </c>
      <c r="D37" s="21">
        <f t="shared" si="13"/>
        <v>1061.715</v>
      </c>
      <c r="E37" s="37">
        <f>IF(A37&lt;$A$30,'Capital Investment Calculator'!$J$53,0)</f>
        <v>1250</v>
      </c>
      <c r="F37" s="37">
        <f>IF(A37=$A$30-1,'Capital Investment Calculator'!$H$12,0)</f>
        <v>0</v>
      </c>
      <c r="G37" s="21">
        <f>(C37+D37-E37)*$G$17-(F37*(I$17+J$17))</f>
        <v>60.587636517527415</v>
      </c>
      <c r="H37" s="21">
        <f aca="true" t="shared" si="15" ref="H37:H61">B37+C37-E37-F37</f>
        <v>801.0562073790206</v>
      </c>
      <c r="I37" s="21">
        <f t="shared" si="10"/>
        <v>740.4685708614932</v>
      </c>
      <c r="J37" s="21">
        <f aca="true" t="shared" si="16" ref="J37:J61">I37/((1+$G$22)^AA12)</f>
        <v>611.9574965797464</v>
      </c>
      <c r="K37" s="12"/>
      <c r="L37" s="2"/>
      <c r="AC37" s="40">
        <f>SUM(AC11:AC36)</f>
        <v>8880</v>
      </c>
      <c r="AD37" s="2">
        <f>SUM(AD11:AD36)</f>
        <v>1375.2810368951066</v>
      </c>
    </row>
    <row r="38" spans="1:12" ht="12">
      <c r="A38" s="20">
        <f t="shared" si="14"/>
        <v>2016</v>
      </c>
      <c r="B38" s="21">
        <f t="shared" si="11"/>
        <v>1771.7794686353702</v>
      </c>
      <c r="C38" s="21">
        <f t="shared" si="12"/>
        <v>279.27673874365036</v>
      </c>
      <c r="D38" s="21">
        <f t="shared" si="13"/>
        <v>834.165</v>
      </c>
      <c r="E38" s="37">
        <f>IF(A38&lt;$A$30,'Capital Investment Calculator'!$J$53,0)</f>
        <v>1250</v>
      </c>
      <c r="F38" s="37">
        <f>IF(A38=$A$30-1,'Capital Investment Calculator'!$H$12,0)</f>
        <v>0</v>
      </c>
      <c r="G38" s="21">
        <f>(C38+D38-E38)*$G$17-(F38*(I$17+J$17))</f>
        <v>-47.18087926406879</v>
      </c>
      <c r="H38" s="21">
        <f t="shared" si="15"/>
        <v>801.0562073790206</v>
      </c>
      <c r="I38" s="21">
        <f t="shared" si="10"/>
        <v>848.2370866430895</v>
      </c>
      <c r="J38" s="21">
        <f t="shared" si="16"/>
        <v>637.2930778685869</v>
      </c>
      <c r="K38" s="12"/>
      <c r="L38" s="2"/>
    </row>
    <row r="39" spans="1:36" ht="12">
      <c r="A39" s="20">
        <f t="shared" si="14"/>
        <v>2017</v>
      </c>
      <c r="B39" s="21">
        <f t="shared" si="11"/>
        <v>1860.3684420671389</v>
      </c>
      <c r="C39" s="21">
        <f t="shared" si="12"/>
        <v>190.6877653118819</v>
      </c>
      <c r="D39" s="21">
        <f t="shared" si="13"/>
        <v>679.875</v>
      </c>
      <c r="E39" s="37">
        <f>IF(A39&lt;$A$30,'Capital Investment Calculator'!$J$53,0)</f>
        <v>1250</v>
      </c>
      <c r="F39" s="37">
        <f>IF(A39=$A$30-1,'Capital Investment Calculator'!$H$12,0)</f>
        <v>0</v>
      </c>
      <c r="G39" s="21">
        <f aca="true" t="shared" si="17" ref="G39:G61">(C39+D39-E39)*$G$17-(F39*(I$17+J$17))</f>
        <v>-131.0955645847448</v>
      </c>
      <c r="H39" s="21">
        <f t="shared" si="15"/>
        <v>801.0562073790206</v>
      </c>
      <c r="I39" s="21">
        <f t="shared" si="10"/>
        <v>932.1517719637654</v>
      </c>
      <c r="J39" s="21">
        <f t="shared" si="16"/>
        <v>636.6722026936446</v>
      </c>
      <c r="K39" s="12"/>
      <c r="L39" s="2"/>
      <c r="AA39" s="11"/>
      <c r="AE39" s="11"/>
      <c r="AJ39" s="11"/>
    </row>
    <row r="40" spans="1:36" ht="12">
      <c r="A40" s="20">
        <f t="shared" si="14"/>
        <v>2018</v>
      </c>
      <c r="B40" s="21">
        <f t="shared" si="11"/>
        <v>1953.3868641704958</v>
      </c>
      <c r="C40" s="21">
        <f t="shared" si="12"/>
        <v>97.66934320852494</v>
      </c>
      <c r="D40" s="21">
        <f t="shared" si="13"/>
        <v>679.875</v>
      </c>
      <c r="E40" s="37">
        <f>IF(A40&lt;$A$30,'Capital Investment Calculator'!$J$53,0)</f>
        <v>1250</v>
      </c>
      <c r="F40" s="37">
        <f>IF(A40=$A$30-1,'Capital Investment Calculator'!$H$12,0)</f>
        <v>0</v>
      </c>
      <c r="G40" s="21">
        <f t="shared" si="17"/>
        <v>-163.23342942145464</v>
      </c>
      <c r="H40" s="21">
        <f t="shared" si="15"/>
        <v>801.0562073790206</v>
      </c>
      <c r="I40" s="21">
        <f t="shared" si="10"/>
        <v>964.2896368004753</v>
      </c>
      <c r="J40" s="21">
        <f t="shared" si="16"/>
        <v>598.7479970943831</v>
      </c>
      <c r="K40" s="12"/>
      <c r="L40" s="2"/>
      <c r="AA40" s="11"/>
      <c r="AB40" s="12"/>
      <c r="AE40" s="11"/>
      <c r="AJ40" s="11"/>
    </row>
    <row r="41" spans="1:12" ht="12">
      <c r="A41" s="20">
        <f t="shared" si="14"/>
        <v>2019</v>
      </c>
      <c r="B41" s="21">
        <f t="shared" si="11"/>
        <v>2.7284841053187847E-12</v>
      </c>
      <c r="C41" s="21">
        <f t="shared" si="12"/>
        <v>1.3642420526593926E-13</v>
      </c>
      <c r="D41" s="21">
        <f t="shared" si="13"/>
        <v>696.525</v>
      </c>
      <c r="E41" s="37">
        <f>IF(A41&lt;$A$30,'Capital Investment Calculator'!$J$53,0)</f>
        <v>1250</v>
      </c>
      <c r="F41" s="37">
        <f>IF(A41=$A$30-1,'Capital Investment Calculator'!$H$12,0)</f>
        <v>0</v>
      </c>
      <c r="G41" s="21">
        <f t="shared" si="17"/>
        <v>-191.22561249999995</v>
      </c>
      <c r="H41" s="21">
        <f t="shared" si="15"/>
        <v>-1249.999999999997</v>
      </c>
      <c r="I41" s="21">
        <f t="shared" si="10"/>
        <v>-1058.7743874999971</v>
      </c>
      <c r="J41" s="21">
        <f t="shared" si="16"/>
        <v>-597.6505395524041</v>
      </c>
      <c r="K41" s="12"/>
      <c r="L41" s="2"/>
    </row>
    <row r="42" spans="1:12" ht="12">
      <c r="A42" s="20">
        <f t="shared" si="14"/>
        <v>2020</v>
      </c>
      <c r="B42" s="21">
        <f t="shared" si="11"/>
        <v>0</v>
      </c>
      <c r="C42" s="21">
        <f t="shared" si="12"/>
        <v>0</v>
      </c>
      <c r="D42" s="21">
        <f t="shared" si="13"/>
        <v>679.875</v>
      </c>
      <c r="E42" s="37">
        <f>IF(A42&lt;$A$30,'Capital Investment Calculator'!$J$53,0)</f>
        <v>1250</v>
      </c>
      <c r="F42" s="37">
        <f>IF(A42=$A$30-1,'Capital Investment Calculator'!$H$12,0)</f>
        <v>0</v>
      </c>
      <c r="G42" s="21">
        <f t="shared" si="17"/>
        <v>-196.9781875</v>
      </c>
      <c r="H42" s="21">
        <f t="shared" si="15"/>
        <v>-1250</v>
      </c>
      <c r="I42" s="21">
        <f t="shared" si="10"/>
        <v>-1053.0218125000001</v>
      </c>
      <c r="J42" s="21">
        <f t="shared" si="16"/>
        <v>-540.3666917583879</v>
      </c>
      <c r="K42" s="12"/>
      <c r="L42" s="2"/>
    </row>
    <row r="43" spans="1:12" ht="12">
      <c r="A43" s="20">
        <f t="shared" si="14"/>
        <v>2021</v>
      </c>
      <c r="B43" s="21">
        <f t="shared" si="11"/>
        <v>0</v>
      </c>
      <c r="C43" s="21">
        <f t="shared" si="12"/>
        <v>0</v>
      </c>
      <c r="D43" s="21">
        <f t="shared" si="13"/>
        <v>323.565</v>
      </c>
      <c r="E43" s="37">
        <f>IF(A43&lt;$A$30,'Capital Investment Calculator'!$J$53,0)</f>
        <v>1250</v>
      </c>
      <c r="F43" s="37">
        <f>IF(A43=$A$30-1,'Capital Investment Calculator'!$H$12,0)</f>
        <v>0</v>
      </c>
      <c r="G43" s="21">
        <f t="shared" si="17"/>
        <v>-320.08329249999997</v>
      </c>
      <c r="H43" s="21">
        <f t="shared" si="15"/>
        <v>-1250</v>
      </c>
      <c r="I43" s="21">
        <f t="shared" si="10"/>
        <v>-929.9167075</v>
      </c>
      <c r="J43" s="21">
        <f t="shared" si="16"/>
        <v>-433.8130070290857</v>
      </c>
      <c r="K43" s="12"/>
      <c r="L43" s="2"/>
    </row>
    <row r="44" spans="1:41" ht="12">
      <c r="A44" s="20">
        <f t="shared" si="14"/>
        <v>2022</v>
      </c>
      <c r="B44" s="21">
        <f t="shared" si="11"/>
        <v>0</v>
      </c>
      <c r="C44" s="21">
        <f t="shared" si="12"/>
        <v>0</v>
      </c>
      <c r="D44" s="21">
        <f t="shared" si="13"/>
        <v>0</v>
      </c>
      <c r="E44" s="37">
        <f>IF(A44&lt;$A$30,'Capital Investment Calculator'!$J$53,0)</f>
        <v>1250</v>
      </c>
      <c r="F44" s="37">
        <f>IF(A44=$A$30-1,'Capital Investment Calculator'!$H$12,0)</f>
        <v>0</v>
      </c>
      <c r="G44" s="21">
        <f t="shared" si="17"/>
        <v>-431.87499999999994</v>
      </c>
      <c r="H44" s="21">
        <f t="shared" si="15"/>
        <v>-1250</v>
      </c>
      <c r="I44" s="21">
        <f t="shared" si="10"/>
        <v>-818.125</v>
      </c>
      <c r="J44" s="21">
        <f t="shared" si="16"/>
        <v>-346.964864030989</v>
      </c>
      <c r="K44" s="12"/>
      <c r="L44" s="2"/>
      <c r="M44" s="67"/>
      <c r="AA44" s="11"/>
      <c r="AB44" s="11"/>
      <c r="AC44" s="13"/>
      <c r="AD44" s="11"/>
      <c r="AE44" s="14"/>
      <c r="AF44" s="14"/>
      <c r="AG44" s="14"/>
      <c r="AH44" s="14"/>
      <c r="AI44" s="11"/>
      <c r="AJ44" s="14"/>
      <c r="AK44" s="14"/>
      <c r="AL44" s="14"/>
      <c r="AM44" s="14"/>
      <c r="AN44" s="11"/>
      <c r="AO44" s="11"/>
    </row>
    <row r="45" spans="1:41" ht="12">
      <c r="A45" s="20">
        <f t="shared" si="14"/>
        <v>2023</v>
      </c>
      <c r="B45" s="21">
        <f t="shared" si="11"/>
        <v>0</v>
      </c>
      <c r="C45" s="21">
        <f t="shared" si="12"/>
        <v>0</v>
      </c>
      <c r="D45" s="21">
        <f t="shared" si="13"/>
        <v>0</v>
      </c>
      <c r="E45" s="37">
        <f>IF(A45&lt;$A$30,'Capital Investment Calculator'!$J$53,0)</f>
        <v>1250</v>
      </c>
      <c r="F45" s="37">
        <f>IF(A45=$A$30-1,'Capital Investment Calculator'!$H$12,0)</f>
        <v>0</v>
      </c>
      <c r="G45" s="21">
        <f t="shared" si="17"/>
        <v>-431.87499999999994</v>
      </c>
      <c r="H45" s="21">
        <f t="shared" si="15"/>
        <v>-1250</v>
      </c>
      <c r="I45" s="21">
        <f t="shared" si="10"/>
        <v>-818.125</v>
      </c>
      <c r="J45" s="21">
        <f t="shared" si="16"/>
        <v>-315.4226036645354</v>
      </c>
      <c r="K45" s="12"/>
      <c r="L45" s="2"/>
      <c r="AA45" s="12"/>
      <c r="AB45" s="12"/>
      <c r="AC45" s="12"/>
      <c r="AD45" s="12"/>
      <c r="AE45" s="12"/>
      <c r="AF45" s="12"/>
      <c r="AG45" s="12"/>
      <c r="AH45" s="12"/>
      <c r="AI45" s="12"/>
      <c r="AJ45" s="17"/>
      <c r="AK45" s="17"/>
      <c r="AL45" s="17"/>
      <c r="AM45" s="17"/>
      <c r="AN45" s="17"/>
      <c r="AO45" s="17"/>
    </row>
    <row r="46" spans="1:41" ht="12">
      <c r="A46" s="20">
        <f t="shared" si="14"/>
        <v>2024</v>
      </c>
      <c r="B46" s="21">
        <f t="shared" si="11"/>
        <v>0</v>
      </c>
      <c r="C46" s="21">
        <f t="shared" si="12"/>
        <v>0</v>
      </c>
      <c r="D46" s="21">
        <f t="shared" si="13"/>
        <v>0</v>
      </c>
      <c r="E46" s="37">
        <f>IF(A46&lt;$A$30,'Capital Investment Calculator'!$J$53,0)</f>
        <v>1250</v>
      </c>
      <c r="F46" s="37">
        <f>IF(A46=$A$30-1,'Capital Investment Calculator'!$H$12,0)</f>
        <v>0</v>
      </c>
      <c r="G46" s="21">
        <f t="shared" si="17"/>
        <v>-431.87499999999994</v>
      </c>
      <c r="H46" s="21">
        <f t="shared" si="15"/>
        <v>-1250</v>
      </c>
      <c r="I46" s="21">
        <f t="shared" si="10"/>
        <v>-818.125</v>
      </c>
      <c r="J46" s="21">
        <f t="shared" si="16"/>
        <v>-286.747821513214</v>
      </c>
      <c r="K46" s="12"/>
      <c r="L46" s="2"/>
      <c r="AA46" s="12"/>
      <c r="AB46" s="12"/>
      <c r="AC46" s="12"/>
      <c r="AD46" s="12"/>
      <c r="AE46" s="12"/>
      <c r="AF46" s="12"/>
      <c r="AG46" s="12"/>
      <c r="AH46" s="12"/>
      <c r="AI46" s="12"/>
      <c r="AJ46" s="17"/>
      <c r="AK46" s="17"/>
      <c r="AL46" s="17"/>
      <c r="AM46" s="17"/>
      <c r="AN46" s="17"/>
      <c r="AO46" s="17"/>
    </row>
    <row r="47" spans="1:41" ht="12">
      <c r="A47" s="20">
        <f t="shared" si="14"/>
        <v>2025</v>
      </c>
      <c r="B47" s="21">
        <f t="shared" si="11"/>
        <v>0</v>
      </c>
      <c r="C47" s="21">
        <f t="shared" si="12"/>
        <v>0</v>
      </c>
      <c r="D47" s="21">
        <f t="shared" si="13"/>
        <v>0</v>
      </c>
      <c r="E47" s="37">
        <f>IF(A47&lt;$A$30,'Capital Investment Calculator'!$J$53,0)</f>
        <v>1250</v>
      </c>
      <c r="F47" s="37">
        <f>IF(A47=$A$30-1,'Capital Investment Calculator'!$H$12,0)</f>
        <v>0</v>
      </c>
      <c r="G47" s="21">
        <f t="shared" si="17"/>
        <v>-431.87499999999994</v>
      </c>
      <c r="H47" s="21">
        <f t="shared" si="15"/>
        <v>-1250</v>
      </c>
      <c r="I47" s="21">
        <f t="shared" si="10"/>
        <v>-818.125</v>
      </c>
      <c r="J47" s="21">
        <f t="shared" si="16"/>
        <v>-260.67983773928546</v>
      </c>
      <c r="K47" s="12"/>
      <c r="L47" s="2"/>
      <c r="AA47" s="12"/>
      <c r="AB47" s="12"/>
      <c r="AC47" s="12"/>
      <c r="AD47" s="12"/>
      <c r="AE47" s="12"/>
      <c r="AF47" s="12"/>
      <c r="AG47" s="12"/>
      <c r="AH47" s="12"/>
      <c r="AI47" s="12"/>
      <c r="AJ47" s="17"/>
      <c r="AK47" s="17"/>
      <c r="AL47" s="17"/>
      <c r="AM47" s="17"/>
      <c r="AN47" s="17"/>
      <c r="AO47" s="17"/>
    </row>
    <row r="48" spans="1:41" ht="12">
      <c r="A48" s="20">
        <f t="shared" si="14"/>
        <v>2026</v>
      </c>
      <c r="B48" s="21">
        <f t="shared" si="11"/>
        <v>0</v>
      </c>
      <c r="C48" s="21">
        <f t="shared" si="12"/>
        <v>0</v>
      </c>
      <c r="D48" s="21">
        <f t="shared" si="13"/>
        <v>0</v>
      </c>
      <c r="E48" s="37">
        <f>IF(A48&lt;$A$30,'Capital Investment Calculator'!$J$53,0)</f>
        <v>1250</v>
      </c>
      <c r="F48" s="37">
        <f>IF(A48=$A$30-1,'Capital Investment Calculator'!$H$12,0)</f>
        <v>0</v>
      </c>
      <c r="G48" s="21">
        <f t="shared" si="17"/>
        <v>-431.87499999999994</v>
      </c>
      <c r="H48" s="21">
        <f t="shared" si="15"/>
        <v>-1250</v>
      </c>
      <c r="I48" s="21">
        <f t="shared" si="10"/>
        <v>-818.125</v>
      </c>
      <c r="J48" s="21">
        <f t="shared" si="16"/>
        <v>-236.98167067207768</v>
      </c>
      <c r="K48" s="12"/>
      <c r="L48" s="2"/>
      <c r="AA48" s="12"/>
      <c r="AB48" s="12"/>
      <c r="AC48" s="12"/>
      <c r="AD48" s="12"/>
      <c r="AE48" s="12"/>
      <c r="AF48" s="12"/>
      <c r="AG48" s="12"/>
      <c r="AH48" s="12"/>
      <c r="AI48" s="12"/>
      <c r="AJ48" s="17"/>
      <c r="AK48" s="17"/>
      <c r="AL48" s="17"/>
      <c r="AM48" s="17"/>
      <c r="AN48" s="17"/>
      <c r="AO48" s="17"/>
    </row>
    <row r="49" spans="1:41" ht="12">
      <c r="A49" s="20">
        <f t="shared" si="14"/>
        <v>2027</v>
      </c>
      <c r="B49" s="21">
        <f t="shared" si="11"/>
        <v>0</v>
      </c>
      <c r="C49" s="21">
        <f t="shared" si="12"/>
        <v>0</v>
      </c>
      <c r="D49" s="21">
        <f t="shared" si="13"/>
        <v>0</v>
      </c>
      <c r="E49" s="37">
        <f>IF(A49&lt;$A$30,'Capital Investment Calculator'!$J$53,0)</f>
        <v>1250</v>
      </c>
      <c r="F49" s="37">
        <f>IF(A49=$A$30-1,'Capital Investment Calculator'!$H$12,0)</f>
        <v>0</v>
      </c>
      <c r="G49" s="21">
        <f t="shared" si="17"/>
        <v>-431.87499999999994</v>
      </c>
      <c r="H49" s="21">
        <f t="shared" si="15"/>
        <v>-1250</v>
      </c>
      <c r="I49" s="21">
        <f t="shared" si="10"/>
        <v>-818.125</v>
      </c>
      <c r="J49" s="21">
        <f t="shared" si="16"/>
        <v>-215.43788242916148</v>
      </c>
      <c r="K49" s="12"/>
      <c r="L49" s="2"/>
      <c r="AA49" s="12"/>
      <c r="AB49" s="12"/>
      <c r="AC49" s="12"/>
      <c r="AD49" s="12"/>
      <c r="AF49" s="12"/>
      <c r="AG49" s="12"/>
      <c r="AH49" s="12"/>
      <c r="AI49" s="12"/>
      <c r="AJ49" s="17"/>
      <c r="AK49" s="17"/>
      <c r="AL49" s="17"/>
      <c r="AM49" s="17"/>
      <c r="AN49" s="17"/>
      <c r="AO49" s="17"/>
    </row>
    <row r="50" spans="1:41" ht="12">
      <c r="A50" s="20">
        <f t="shared" si="14"/>
        <v>2028</v>
      </c>
      <c r="B50" s="21">
        <f t="shared" si="11"/>
        <v>0</v>
      </c>
      <c r="C50" s="21">
        <f t="shared" si="12"/>
        <v>0</v>
      </c>
      <c r="D50" s="21">
        <f t="shared" si="13"/>
        <v>0</v>
      </c>
      <c r="E50" s="37">
        <f>IF(A50&lt;$A$30,'Capital Investment Calculator'!$J$53,0)</f>
        <v>1250</v>
      </c>
      <c r="F50" s="37">
        <f>IF(A50=$A$30-1,'Capital Investment Calculator'!$H$12,0)</f>
        <v>0</v>
      </c>
      <c r="G50" s="21">
        <f t="shared" si="17"/>
        <v>-431.87499999999994</v>
      </c>
      <c r="H50" s="21">
        <f t="shared" si="15"/>
        <v>-1250</v>
      </c>
      <c r="I50" s="21">
        <f t="shared" si="10"/>
        <v>-818.125</v>
      </c>
      <c r="J50" s="21">
        <f t="shared" si="16"/>
        <v>-195.8526203901468</v>
      </c>
      <c r="K50" s="12"/>
      <c r="L50" s="2"/>
      <c r="AA50" s="12"/>
      <c r="AB50" s="12"/>
      <c r="AC50" s="12"/>
      <c r="AD50" s="12"/>
      <c r="AF50" s="12"/>
      <c r="AG50" s="12"/>
      <c r="AH50" s="12"/>
      <c r="AI50" s="12"/>
      <c r="AJ50" s="17"/>
      <c r="AK50" s="17"/>
      <c r="AL50" s="17"/>
      <c r="AM50" s="17"/>
      <c r="AN50" s="17"/>
      <c r="AO50" s="17"/>
    </row>
    <row r="51" spans="1:41" ht="12">
      <c r="A51" s="20">
        <f t="shared" si="14"/>
        <v>2029</v>
      </c>
      <c r="B51" s="21">
        <f t="shared" si="11"/>
        <v>0</v>
      </c>
      <c r="C51" s="21">
        <f t="shared" si="12"/>
        <v>0</v>
      </c>
      <c r="D51" s="21">
        <f t="shared" si="13"/>
        <v>0</v>
      </c>
      <c r="E51" s="37">
        <f>IF(A51&lt;$A$30,'Capital Investment Calculator'!$J$53,0)</f>
        <v>1250</v>
      </c>
      <c r="F51" s="37">
        <f>IF(A51=$A$30-1,'Capital Investment Calculator'!$H$12,0)</f>
        <v>0</v>
      </c>
      <c r="G51" s="21">
        <f t="shared" si="17"/>
        <v>-431.87499999999994</v>
      </c>
      <c r="H51" s="21">
        <f t="shared" si="15"/>
        <v>-1250</v>
      </c>
      <c r="I51" s="21">
        <f t="shared" si="10"/>
        <v>-818.125</v>
      </c>
      <c r="J51" s="21">
        <f t="shared" si="16"/>
        <v>-178.04783671831527</v>
      </c>
      <c r="K51" s="12"/>
      <c r="L51" s="2"/>
      <c r="AA51" s="12"/>
      <c r="AB51" s="12"/>
      <c r="AC51" s="12"/>
      <c r="AD51" s="12"/>
      <c r="AG51" s="12"/>
      <c r="AH51" s="12"/>
      <c r="AI51" s="12"/>
      <c r="AJ51" s="17"/>
      <c r="AK51" s="17"/>
      <c r="AL51" s="17"/>
      <c r="AM51" s="17"/>
      <c r="AN51" s="17"/>
      <c r="AO51" s="17"/>
    </row>
    <row r="52" spans="1:41" ht="12">
      <c r="A52" s="20">
        <f t="shared" si="14"/>
        <v>2030</v>
      </c>
      <c r="B52" s="21">
        <f t="shared" si="11"/>
        <v>0</v>
      </c>
      <c r="C52" s="21">
        <f t="shared" si="12"/>
        <v>0</v>
      </c>
      <c r="D52" s="21">
        <f t="shared" si="13"/>
        <v>0</v>
      </c>
      <c r="E52" s="37">
        <f>IF(A52&lt;$A$30,'Capital Investment Calculator'!$J$53,0)</f>
        <v>1250</v>
      </c>
      <c r="F52" s="37">
        <f>IF(A52=$A$30-1,'Capital Investment Calculator'!$H$12,0)</f>
        <v>0</v>
      </c>
      <c r="G52" s="21">
        <f t="shared" si="17"/>
        <v>-431.87499999999994</v>
      </c>
      <c r="H52" s="21">
        <f t="shared" si="15"/>
        <v>-1250</v>
      </c>
      <c r="I52" s="21">
        <f t="shared" si="10"/>
        <v>-818.125</v>
      </c>
      <c r="J52" s="21">
        <f t="shared" si="16"/>
        <v>-161.86166974392296</v>
      </c>
      <c r="K52" s="12"/>
      <c r="L52" s="2"/>
      <c r="AA52" s="12"/>
      <c r="AB52" s="12"/>
      <c r="AC52" s="12"/>
      <c r="AD52" s="12"/>
      <c r="AG52" s="12"/>
      <c r="AH52" s="12"/>
      <c r="AI52" s="12"/>
      <c r="AJ52" s="17"/>
      <c r="AK52" s="17"/>
      <c r="AL52" s="17"/>
      <c r="AM52" s="17"/>
      <c r="AN52" s="17"/>
      <c r="AO52" s="17"/>
    </row>
    <row r="53" spans="1:41" ht="12">
      <c r="A53" s="20">
        <f t="shared" si="14"/>
        <v>2031</v>
      </c>
      <c r="B53" s="21">
        <f t="shared" si="11"/>
        <v>0</v>
      </c>
      <c r="C53" s="21">
        <f t="shared" si="12"/>
        <v>0</v>
      </c>
      <c r="D53" s="21">
        <f t="shared" si="13"/>
        <v>0</v>
      </c>
      <c r="E53" s="37">
        <f>IF(A53&lt;$A$30,'Capital Investment Calculator'!$J$53,0)</f>
        <v>1250</v>
      </c>
      <c r="F53" s="37">
        <f>IF(A53=$A$30-1,'Capital Investment Calculator'!$H$12,0)</f>
        <v>0</v>
      </c>
      <c r="G53" s="21">
        <f t="shared" si="17"/>
        <v>-431.87499999999994</v>
      </c>
      <c r="H53" s="21">
        <f t="shared" si="15"/>
        <v>-1250</v>
      </c>
      <c r="I53" s="21">
        <f t="shared" si="10"/>
        <v>-818.125</v>
      </c>
      <c r="J53" s="21">
        <f t="shared" si="16"/>
        <v>-147.14697249447542</v>
      </c>
      <c r="K53" s="12"/>
      <c r="L53" s="2"/>
      <c r="AA53" s="12"/>
      <c r="AB53" s="12"/>
      <c r="AC53" s="12"/>
      <c r="AD53" s="12"/>
      <c r="AH53" s="12"/>
      <c r="AI53" s="12"/>
      <c r="AJ53" s="17"/>
      <c r="AK53" s="17"/>
      <c r="AL53" s="17"/>
      <c r="AM53" s="17"/>
      <c r="AN53" s="17"/>
      <c r="AO53" s="17"/>
    </row>
    <row r="54" spans="1:41" ht="12">
      <c r="A54" s="20">
        <f t="shared" si="14"/>
        <v>2032</v>
      </c>
      <c r="B54" s="21">
        <f t="shared" si="11"/>
        <v>0</v>
      </c>
      <c r="C54" s="21">
        <f t="shared" si="12"/>
        <v>0</v>
      </c>
      <c r="D54" s="21">
        <f t="shared" si="13"/>
        <v>0</v>
      </c>
      <c r="E54" s="37">
        <f>IF(A54&lt;$A$30,'Capital Investment Calculator'!$J$53,0)</f>
        <v>1250</v>
      </c>
      <c r="F54" s="37">
        <f>IF(A54=$A$30-1,'Capital Investment Calculator'!$H$12,0)</f>
        <v>0</v>
      </c>
      <c r="G54" s="21">
        <f t="shared" si="17"/>
        <v>-431.87499999999994</v>
      </c>
      <c r="H54" s="21">
        <f t="shared" si="15"/>
        <v>-1250</v>
      </c>
      <c r="I54" s="21">
        <f t="shared" si="10"/>
        <v>-818.125</v>
      </c>
      <c r="J54" s="21">
        <f t="shared" si="16"/>
        <v>-133.76997499497762</v>
      </c>
      <c r="K54" s="12"/>
      <c r="L54" s="73"/>
      <c r="M54" s="45"/>
      <c r="AA54" s="12"/>
      <c r="AB54" s="12"/>
      <c r="AC54" s="12"/>
      <c r="AD54" s="12"/>
      <c r="AH54" s="12"/>
      <c r="AI54" s="12"/>
      <c r="AJ54" s="17"/>
      <c r="AK54" s="17"/>
      <c r="AL54" s="17"/>
      <c r="AM54" s="17"/>
      <c r="AN54" s="17"/>
      <c r="AO54" s="17"/>
    </row>
    <row r="55" spans="1:41" ht="12">
      <c r="A55" s="20">
        <f t="shared" si="14"/>
        <v>2033</v>
      </c>
      <c r="B55" s="21">
        <f t="shared" si="11"/>
        <v>0</v>
      </c>
      <c r="C55" s="21">
        <f t="shared" si="12"/>
        <v>0</v>
      </c>
      <c r="D55" s="21">
        <f t="shared" si="13"/>
        <v>0</v>
      </c>
      <c r="E55" s="37">
        <f>IF(A55&lt;$A$30,'Capital Investment Calculator'!$J$53,0)</f>
        <v>1250</v>
      </c>
      <c r="F55" s="37">
        <f>IF(A55=$A$30-1,'Capital Investment Calculator'!$H$12,0)</f>
        <v>1000</v>
      </c>
      <c r="G55" s="21">
        <f t="shared" si="17"/>
        <v>-624.375</v>
      </c>
      <c r="H55" s="21">
        <f t="shared" si="15"/>
        <v>-2250</v>
      </c>
      <c r="I55" s="21">
        <f t="shared" si="10"/>
        <v>-1625.625</v>
      </c>
      <c r="J55" s="21">
        <f t="shared" si="16"/>
        <v>-241.63879780674824</v>
      </c>
      <c r="K55" s="12"/>
      <c r="L55" s="2"/>
      <c r="AA55" s="12"/>
      <c r="AB55" s="12"/>
      <c r="AC55" s="12"/>
      <c r="AD55" s="12"/>
      <c r="AH55" s="12"/>
      <c r="AI55" s="12"/>
      <c r="AJ55" s="17"/>
      <c r="AK55" s="17"/>
      <c r="AL55" s="17"/>
      <c r="AM55" s="17"/>
      <c r="AN55" s="17"/>
      <c r="AO55" s="17"/>
    </row>
    <row r="56" spans="1:41" ht="12">
      <c r="A56" s="20">
        <f t="shared" si="14"/>
        <v>2034</v>
      </c>
      <c r="B56" s="21">
        <f t="shared" si="11"/>
        <v>0</v>
      </c>
      <c r="C56" s="21">
        <f t="shared" si="12"/>
        <v>0</v>
      </c>
      <c r="D56" s="21">
        <f t="shared" si="13"/>
        <v>0</v>
      </c>
      <c r="E56" s="37">
        <f>IF(A56&lt;$A$30,'Capital Investment Calculator'!$J$53,0)</f>
        <v>0</v>
      </c>
      <c r="F56" s="37">
        <f>IF(A56=$A$30-1,'Capital Investment Calculator'!$H$12,0)</f>
        <v>0</v>
      </c>
      <c r="G56" s="21">
        <f t="shared" si="17"/>
        <v>0</v>
      </c>
      <c r="H56" s="21">
        <f t="shared" si="15"/>
        <v>0</v>
      </c>
      <c r="I56" s="21">
        <f t="shared" si="10"/>
        <v>0</v>
      </c>
      <c r="J56" s="21">
        <f t="shared" si="16"/>
        <v>0</v>
      </c>
      <c r="K56" s="12"/>
      <c r="L56" s="2"/>
      <c r="AA56" s="12"/>
      <c r="AB56" s="12"/>
      <c r="AC56" s="12"/>
      <c r="AD56" s="12"/>
      <c r="AI56" s="12"/>
      <c r="AJ56" s="17"/>
      <c r="AK56" s="17"/>
      <c r="AL56" s="17"/>
      <c r="AM56" s="17"/>
      <c r="AN56" s="17"/>
      <c r="AO56" s="17"/>
    </row>
    <row r="57" spans="1:41" ht="12">
      <c r="A57" s="20">
        <f t="shared" si="14"/>
        <v>2035</v>
      </c>
      <c r="B57" s="21">
        <f t="shared" si="11"/>
        <v>0</v>
      </c>
      <c r="C57" s="21">
        <f t="shared" si="12"/>
        <v>0</v>
      </c>
      <c r="D57" s="21">
        <f t="shared" si="13"/>
        <v>0</v>
      </c>
      <c r="E57" s="37">
        <f>IF(A57&lt;$A$30,'Capital Investment Calculator'!$J$53,0)</f>
        <v>0</v>
      </c>
      <c r="F57" s="37">
        <f>IF(A57=$A$30-1,'Capital Investment Calculator'!$H$12,0)</f>
        <v>0</v>
      </c>
      <c r="G57" s="21">
        <f t="shared" si="17"/>
        <v>0</v>
      </c>
      <c r="H57" s="21">
        <f t="shared" si="15"/>
        <v>0</v>
      </c>
      <c r="I57" s="21">
        <f t="shared" si="10"/>
        <v>0</v>
      </c>
      <c r="J57" s="21">
        <f t="shared" si="16"/>
        <v>0</v>
      </c>
      <c r="K57" s="12"/>
      <c r="L57" s="2"/>
      <c r="AA57" s="12"/>
      <c r="AB57" s="12"/>
      <c r="AC57" s="12"/>
      <c r="AD57" s="12"/>
      <c r="AI57" s="12"/>
      <c r="AJ57" s="17"/>
      <c r="AK57" s="17"/>
      <c r="AL57" s="17"/>
      <c r="AM57" s="17"/>
      <c r="AN57" s="17"/>
      <c r="AO57" s="17"/>
    </row>
    <row r="58" spans="1:41" ht="12">
      <c r="A58" s="20">
        <f t="shared" si="14"/>
        <v>2036</v>
      </c>
      <c r="B58" s="21">
        <f t="shared" si="11"/>
        <v>0</v>
      </c>
      <c r="C58" s="21">
        <f t="shared" si="12"/>
        <v>0</v>
      </c>
      <c r="D58" s="21">
        <f t="shared" si="13"/>
        <v>0</v>
      </c>
      <c r="E58" s="37">
        <f>IF(A58&lt;$A$30,'Capital Investment Calculator'!$J$53,0)</f>
        <v>0</v>
      </c>
      <c r="F58" s="37">
        <f>IF(A58=$A$30-1,'Capital Investment Calculator'!$H$12,0)</f>
        <v>0</v>
      </c>
      <c r="G58" s="21">
        <f t="shared" si="17"/>
        <v>0</v>
      </c>
      <c r="H58" s="21">
        <f t="shared" si="15"/>
        <v>0</v>
      </c>
      <c r="I58" s="21">
        <f t="shared" si="10"/>
        <v>0</v>
      </c>
      <c r="J58" s="21">
        <f t="shared" si="16"/>
        <v>0</v>
      </c>
      <c r="K58" s="12"/>
      <c r="L58" s="2"/>
      <c r="AA58" s="12"/>
      <c r="AB58" s="12"/>
      <c r="AC58" s="12"/>
      <c r="AD58" s="12"/>
      <c r="AI58" s="12"/>
      <c r="AJ58" s="17"/>
      <c r="AK58" s="17"/>
      <c r="AL58" s="17"/>
      <c r="AM58" s="17"/>
      <c r="AN58" s="17"/>
      <c r="AO58" s="17"/>
    </row>
    <row r="59" spans="1:41" ht="12">
      <c r="A59" s="20">
        <f t="shared" si="14"/>
        <v>2037</v>
      </c>
      <c r="B59" s="21">
        <f t="shared" si="11"/>
        <v>0</v>
      </c>
      <c r="C59" s="21">
        <f t="shared" si="12"/>
        <v>0</v>
      </c>
      <c r="D59" s="21">
        <f t="shared" si="13"/>
        <v>0</v>
      </c>
      <c r="E59" s="37">
        <f>IF(A59&lt;$A$30,'Capital Investment Calculator'!$J$53,0)</f>
        <v>0</v>
      </c>
      <c r="F59" s="37">
        <f>IF(A59=$A$30-1,'Capital Investment Calculator'!$H$12,0)</f>
        <v>0</v>
      </c>
      <c r="G59" s="21">
        <f t="shared" si="17"/>
        <v>0</v>
      </c>
      <c r="H59" s="21">
        <f t="shared" si="15"/>
        <v>0</v>
      </c>
      <c r="I59" s="21">
        <f t="shared" si="10"/>
        <v>0</v>
      </c>
      <c r="J59" s="21">
        <f t="shared" si="16"/>
        <v>0</v>
      </c>
      <c r="K59" s="12"/>
      <c r="L59" s="2"/>
      <c r="AA59" s="12"/>
      <c r="AB59" s="12"/>
      <c r="AC59" s="12"/>
      <c r="AD59" s="12"/>
      <c r="AI59" s="12"/>
      <c r="AJ59" s="17"/>
      <c r="AK59" s="17"/>
      <c r="AL59" s="17"/>
      <c r="AM59" s="17"/>
      <c r="AN59" s="17"/>
      <c r="AO59" s="17"/>
    </row>
    <row r="60" spans="1:41" ht="12">
      <c r="A60" s="20">
        <f t="shared" si="14"/>
        <v>2038</v>
      </c>
      <c r="B60" s="21">
        <f t="shared" si="11"/>
        <v>0</v>
      </c>
      <c r="C60" s="21">
        <f t="shared" si="12"/>
        <v>0</v>
      </c>
      <c r="D60" s="21">
        <f t="shared" si="13"/>
        <v>0</v>
      </c>
      <c r="E60" s="37">
        <f>IF(A60&lt;$A$30,'Capital Investment Calculator'!$J$53,0)</f>
        <v>0</v>
      </c>
      <c r="F60" s="37">
        <f>IF(A60=$A$30-1,'Capital Investment Calculator'!$H$12,0)</f>
        <v>0</v>
      </c>
      <c r="G60" s="21">
        <f t="shared" si="17"/>
        <v>0</v>
      </c>
      <c r="H60" s="21">
        <f t="shared" si="15"/>
        <v>0</v>
      </c>
      <c r="I60" s="21">
        <f t="shared" si="10"/>
        <v>0</v>
      </c>
      <c r="J60" s="21">
        <f t="shared" si="16"/>
        <v>0</v>
      </c>
      <c r="K60" s="12"/>
      <c r="L60" s="2"/>
      <c r="AA60" s="12"/>
      <c r="AB60" s="12"/>
      <c r="AC60" s="12"/>
      <c r="AD60" s="12"/>
      <c r="AI60" s="12"/>
      <c r="AJ60" s="17"/>
      <c r="AK60" s="17"/>
      <c r="AL60" s="17"/>
      <c r="AM60" s="17"/>
      <c r="AN60" s="17"/>
      <c r="AO60" s="17"/>
    </row>
    <row r="61" spans="1:41" ht="12">
      <c r="A61" s="20">
        <f t="shared" si="14"/>
        <v>2039</v>
      </c>
      <c r="B61" s="21">
        <f t="shared" si="11"/>
        <v>0</v>
      </c>
      <c r="C61" s="21">
        <f t="shared" si="12"/>
        <v>0</v>
      </c>
      <c r="D61" s="21">
        <f t="shared" si="13"/>
        <v>0</v>
      </c>
      <c r="E61" s="37">
        <f>IF(A61&lt;$A$30,'Capital Investment Calculator'!$J$53,0)</f>
        <v>0</v>
      </c>
      <c r="F61" s="37">
        <f>IF(A61=$A$30-1,'Capital Investment Calculator'!$H$12,0)</f>
        <v>0</v>
      </c>
      <c r="G61" s="21">
        <f t="shared" si="17"/>
        <v>0</v>
      </c>
      <c r="H61" s="21">
        <f t="shared" si="15"/>
        <v>0</v>
      </c>
      <c r="I61" s="21">
        <f t="shared" si="10"/>
        <v>0</v>
      </c>
      <c r="J61" s="21">
        <f t="shared" si="16"/>
        <v>0</v>
      </c>
      <c r="K61" s="12"/>
      <c r="L61" s="2"/>
      <c r="AA61" s="12"/>
      <c r="AB61" s="12"/>
      <c r="AC61" s="12"/>
      <c r="AD61" s="12"/>
      <c r="AI61" s="12"/>
      <c r="AJ61" s="17"/>
      <c r="AK61" s="17"/>
      <c r="AL61" s="17"/>
      <c r="AM61" s="17"/>
      <c r="AN61" s="17"/>
      <c r="AO61" s="17"/>
    </row>
    <row r="62" spans="1:41" ht="12">
      <c r="A62" s="20"/>
      <c r="B62" s="19" t="s">
        <v>46</v>
      </c>
      <c r="C62" s="19" t="s">
        <v>46</v>
      </c>
      <c r="D62" s="19" t="s">
        <v>46</v>
      </c>
      <c r="E62" s="12"/>
      <c r="F62" s="12"/>
      <c r="G62" s="19" t="s">
        <v>46</v>
      </c>
      <c r="H62" s="19" t="s">
        <v>46</v>
      </c>
      <c r="I62" s="19" t="s">
        <v>46</v>
      </c>
      <c r="J62" s="19" t="s">
        <v>46</v>
      </c>
      <c r="K62" s="12"/>
      <c r="AA62" s="12"/>
      <c r="AB62" s="12"/>
      <c r="AC62" s="12"/>
      <c r="AD62" s="12"/>
      <c r="AI62" s="12"/>
      <c r="AJ62" s="17"/>
      <c r="AK62" s="17"/>
      <c r="AL62" s="17"/>
      <c r="AM62" s="17"/>
      <c r="AN62" s="17"/>
      <c r="AO62" s="17"/>
    </row>
    <row r="63" spans="1:41" ht="12">
      <c r="A63" s="18" t="s">
        <v>47</v>
      </c>
      <c r="B63" s="21">
        <f>SUM(B36:B61)</f>
        <v>8880</v>
      </c>
      <c r="C63" s="21">
        <f>SUM(C36:C61)</f>
        <v>1375.2810368951066</v>
      </c>
      <c r="D63" s="21">
        <f>SUM(D36:D61)</f>
        <v>11100</v>
      </c>
      <c r="E63" s="12"/>
      <c r="F63" s="12"/>
      <c r="G63" s="21">
        <f>SUM(G36:G61)</f>
        <v>-4519.79040175274</v>
      </c>
      <c r="H63" s="21">
        <f>SUM(H36:H61)</f>
        <v>-15744.718963104893</v>
      </c>
      <c r="I63" s="21">
        <f>SUM(I36:I61)</f>
        <v>-11224.928561352153</v>
      </c>
      <c r="J63" s="21">
        <f>SUM(J35:J61)</f>
        <v>-536.2235800477106</v>
      </c>
      <c r="K63" s="12"/>
      <c r="L63" s="21"/>
      <c r="AA63" s="12"/>
      <c r="AB63" s="12"/>
      <c r="AC63" s="12"/>
      <c r="AD63" s="12"/>
      <c r="AI63" s="12"/>
      <c r="AJ63" s="17"/>
      <c r="AK63" s="17"/>
      <c r="AL63" s="17"/>
      <c r="AM63" s="17"/>
      <c r="AN63" s="17"/>
      <c r="AO63" s="17"/>
    </row>
    <row r="64" spans="1:41" ht="12">
      <c r="A64" s="8" t="s">
        <v>48</v>
      </c>
      <c r="B64" s="20"/>
      <c r="C64" s="20"/>
      <c r="D64" s="20"/>
      <c r="E64" s="12"/>
      <c r="F64" s="12"/>
      <c r="G64" s="20"/>
      <c r="H64" s="20"/>
      <c r="I64" s="20"/>
      <c r="J64" s="20"/>
      <c r="K64" s="12"/>
      <c r="AA64" s="12"/>
      <c r="AB64" s="12"/>
      <c r="AC64" s="12"/>
      <c r="AD64" s="12"/>
      <c r="AI64" s="12"/>
      <c r="AJ64" s="17"/>
      <c r="AK64" s="17"/>
      <c r="AL64" s="17"/>
      <c r="AM64" s="17"/>
      <c r="AN64" s="17"/>
      <c r="AO64" s="17"/>
    </row>
    <row r="65" spans="1:41" ht="12">
      <c r="A65" s="12"/>
      <c r="B65" s="12"/>
      <c r="C65" s="12"/>
      <c r="D65" s="12"/>
      <c r="E65" s="12"/>
      <c r="F65" s="12"/>
      <c r="G65" s="12"/>
      <c r="H65" s="14" t="s">
        <v>84</v>
      </c>
      <c r="I65" s="14" t="s">
        <v>84</v>
      </c>
      <c r="J65" s="62"/>
      <c r="K65" s="12"/>
      <c r="AA65" s="12"/>
      <c r="AI65" s="12"/>
      <c r="AJ65" s="17"/>
      <c r="AK65" s="17"/>
      <c r="AL65" s="17"/>
      <c r="AM65" s="17"/>
      <c r="AN65" s="17"/>
      <c r="AO65" s="17"/>
    </row>
    <row r="66" spans="1:41" ht="12">
      <c r="A66" s="12"/>
      <c r="B66" s="12"/>
      <c r="C66" s="12"/>
      <c r="D66" s="12"/>
      <c r="E66" s="12"/>
      <c r="F66" s="12"/>
      <c r="G66" s="12"/>
      <c r="H66" s="63" t="s">
        <v>80</v>
      </c>
      <c r="I66" s="63" t="s">
        <v>81</v>
      </c>
      <c r="J66" s="12"/>
      <c r="K66" s="12"/>
      <c r="L66" s="43"/>
      <c r="M66" s="43"/>
      <c r="AA66" s="12"/>
      <c r="AJ66" s="17"/>
      <c r="AK66" s="17"/>
      <c r="AL66" s="17"/>
      <c r="AM66" s="17"/>
      <c r="AN66" s="17"/>
      <c r="AO66" s="17"/>
    </row>
    <row r="67" spans="1:41" ht="12">
      <c r="A67" s="12"/>
      <c r="B67" s="12"/>
      <c r="C67" s="12"/>
      <c r="D67" s="12"/>
      <c r="E67" s="62"/>
      <c r="F67" s="12"/>
      <c r="G67" s="12"/>
      <c r="H67" s="64">
        <f>IRR(H35:H61,0.1)</f>
        <v>0.11599550984933993</v>
      </c>
      <c r="I67" s="64">
        <f>IRR(I35:I61,0.1)</f>
        <v>0.11637048852533582</v>
      </c>
      <c r="J67" s="12"/>
      <c r="K67" s="12"/>
      <c r="AA67" s="12"/>
      <c r="AJ67" s="17"/>
      <c r="AK67" s="17"/>
      <c r="AL67" s="17"/>
      <c r="AM67" s="17"/>
      <c r="AN67" s="17"/>
      <c r="AO67" s="17"/>
    </row>
    <row r="68" spans="1:41" ht="12">
      <c r="A68" s="12"/>
      <c r="B68" s="12"/>
      <c r="C68" s="12"/>
      <c r="D68" s="12"/>
      <c r="E68" s="12"/>
      <c r="F68" s="12"/>
      <c r="G68" s="12"/>
      <c r="H68" s="12"/>
      <c r="I68" s="12"/>
      <c r="J68" s="12"/>
      <c r="K68" s="12"/>
      <c r="AA68" s="12"/>
      <c r="AJ68" s="17"/>
      <c r="AK68" s="17"/>
      <c r="AL68" s="17"/>
      <c r="AM68" s="17"/>
      <c r="AN68" s="17"/>
      <c r="AO68" s="17"/>
    </row>
    <row r="69" spans="1:41" ht="12">
      <c r="A69" s="12"/>
      <c r="B69" s="12"/>
      <c r="C69" s="12"/>
      <c r="D69" s="12"/>
      <c r="E69" s="12"/>
      <c r="F69" s="12"/>
      <c r="G69" s="12"/>
      <c r="H69" s="12"/>
      <c r="I69" s="12"/>
      <c r="J69" s="12"/>
      <c r="K69" s="12"/>
      <c r="AA69" s="12"/>
      <c r="AJ69" s="17"/>
      <c r="AK69" s="17"/>
      <c r="AL69" s="17"/>
      <c r="AM69" s="17"/>
      <c r="AN69" s="17"/>
      <c r="AO69" s="17"/>
    </row>
    <row r="70" spans="1:41" ht="12">
      <c r="A70" s="12"/>
      <c r="B70" s="37"/>
      <c r="C70" s="65"/>
      <c r="D70" s="65"/>
      <c r="E70" s="37"/>
      <c r="F70" s="65"/>
      <c r="G70" s="12"/>
      <c r="H70" s="12"/>
      <c r="I70" s="12"/>
      <c r="J70" s="12"/>
      <c r="K70" s="12"/>
      <c r="AA70" s="12"/>
      <c r="AJ70" s="17"/>
      <c r="AK70" s="17"/>
      <c r="AL70" s="17"/>
      <c r="AM70" s="17"/>
      <c r="AN70" s="17"/>
      <c r="AO70" s="17"/>
    </row>
    <row r="71" spans="1:11" ht="12">
      <c r="A71" s="12"/>
      <c r="B71" s="37"/>
      <c r="C71" s="65"/>
      <c r="D71" s="65"/>
      <c r="E71" s="37"/>
      <c r="F71" s="65"/>
      <c r="G71" s="12"/>
      <c r="H71" s="12"/>
      <c r="I71" s="12"/>
      <c r="J71" s="12"/>
      <c r="K71" s="12"/>
    </row>
    <row r="72" spans="1:11" ht="12">
      <c r="A72" s="12"/>
      <c r="B72" s="37"/>
      <c r="C72" s="65"/>
      <c r="D72" s="65"/>
      <c r="E72" s="37"/>
      <c r="F72" s="65"/>
      <c r="G72" s="12"/>
      <c r="H72" s="12"/>
      <c r="I72" s="12"/>
      <c r="J72" s="12"/>
      <c r="K72" s="12"/>
    </row>
    <row r="73" spans="1:11" ht="12">
      <c r="A73" s="12"/>
      <c r="B73" s="37"/>
      <c r="C73" s="65"/>
      <c r="D73" s="65"/>
      <c r="E73" s="37"/>
      <c r="F73" s="65"/>
      <c r="G73" s="12"/>
      <c r="H73" s="12"/>
      <c r="I73" s="12"/>
      <c r="J73" s="12"/>
      <c r="K73" s="12"/>
    </row>
    <row r="74" spans="1:11" ht="12">
      <c r="A74" s="12"/>
      <c r="B74" s="37"/>
      <c r="C74" s="65"/>
      <c r="D74" s="65"/>
      <c r="E74" s="37"/>
      <c r="F74" s="65"/>
      <c r="G74" s="12"/>
      <c r="H74" s="12"/>
      <c r="I74" s="12"/>
      <c r="J74" s="12"/>
      <c r="K74" s="12"/>
    </row>
    <row r="75" spans="1:11" ht="12">
      <c r="A75" s="48"/>
      <c r="B75" s="49"/>
      <c r="C75" s="50"/>
      <c r="D75" s="50"/>
      <c r="E75" s="49"/>
      <c r="F75" s="50"/>
      <c r="G75" s="48"/>
      <c r="H75" s="48"/>
      <c r="I75" s="48"/>
      <c r="J75" s="48"/>
      <c r="K75" s="48"/>
    </row>
    <row r="76" spans="1:11" ht="12">
      <c r="A76" s="48"/>
      <c r="B76" s="49"/>
      <c r="C76" s="50"/>
      <c r="D76" s="50"/>
      <c r="E76" s="49"/>
      <c r="F76" s="50"/>
      <c r="G76" s="48"/>
      <c r="H76" s="48"/>
      <c r="I76" s="48"/>
      <c r="J76" s="48"/>
      <c r="K76" s="48"/>
    </row>
    <row r="77" spans="2:6" ht="12">
      <c r="B77" s="2"/>
      <c r="C77" s="45"/>
      <c r="D77" s="45"/>
      <c r="E77" s="2"/>
      <c r="F77" s="45"/>
    </row>
    <row r="78" spans="2:6" ht="12">
      <c r="B78" s="2"/>
      <c r="C78" s="45"/>
      <c r="D78" s="45"/>
      <c r="E78" s="2"/>
      <c r="F78" s="45"/>
    </row>
    <row r="79" spans="2:6" ht="12">
      <c r="B79" s="2"/>
      <c r="C79" s="45"/>
      <c r="D79" s="45"/>
      <c r="E79" s="2"/>
      <c r="F79" s="45"/>
    </row>
    <row r="80" spans="2:6" ht="12">
      <c r="B80" s="2"/>
      <c r="C80" s="45"/>
      <c r="D80" s="45"/>
      <c r="E80" s="2"/>
      <c r="F80" s="45"/>
    </row>
    <row r="81" spans="2:6" ht="12">
      <c r="B81" s="2"/>
      <c r="C81" s="45"/>
      <c r="D81" s="45"/>
      <c r="E81" s="2"/>
      <c r="F81" s="45"/>
    </row>
    <row r="82" spans="2:6" ht="12">
      <c r="B82" s="2"/>
      <c r="C82" s="45"/>
      <c r="D82" s="45"/>
      <c r="E82" s="2"/>
      <c r="F82" s="45"/>
    </row>
    <row r="83" spans="2:6" ht="12">
      <c r="B83" s="2"/>
      <c r="C83" s="45"/>
      <c r="D83" s="45"/>
      <c r="E83" s="2"/>
      <c r="F83" s="45"/>
    </row>
    <row r="84" spans="2:6" ht="12">
      <c r="B84" s="2"/>
      <c r="C84" s="45"/>
      <c r="D84" s="45"/>
      <c r="E84" s="2"/>
      <c r="F84" s="45"/>
    </row>
    <row r="85" spans="2:6" ht="12">
      <c r="B85" s="2"/>
      <c r="C85" s="45"/>
      <c r="D85" s="45"/>
      <c r="E85" s="2"/>
      <c r="F85" s="45"/>
    </row>
    <row r="86" spans="2:8" ht="12">
      <c r="B86" s="2"/>
      <c r="C86" s="45"/>
      <c r="D86" s="45"/>
      <c r="E86" s="2"/>
      <c r="F86" s="45"/>
      <c r="G86" s="7"/>
      <c r="H86" s="7"/>
    </row>
    <row r="87" spans="2:8" ht="12">
      <c r="B87" s="2"/>
      <c r="C87" s="45"/>
      <c r="D87" s="45"/>
      <c r="E87" s="2"/>
      <c r="F87" s="45"/>
      <c r="G87" s="7"/>
      <c r="H87" s="8" t="s">
        <v>31</v>
      </c>
    </row>
    <row r="88" spans="2:8" ht="12">
      <c r="B88" s="2"/>
      <c r="C88" s="45"/>
      <c r="D88" s="45"/>
      <c r="E88" s="2"/>
      <c r="F88" s="45"/>
      <c r="G88" s="7"/>
      <c r="H88" s="7"/>
    </row>
    <row r="89" spans="2:8" ht="12">
      <c r="B89" s="2"/>
      <c r="C89" s="45"/>
      <c r="D89" s="45"/>
      <c r="E89" s="2"/>
      <c r="F89" s="45"/>
      <c r="G89" s="7"/>
      <c r="H89" s="7"/>
    </row>
    <row r="90" spans="2:8" ht="12">
      <c r="B90" s="2"/>
      <c r="C90" s="45"/>
      <c r="D90" s="45"/>
      <c r="E90" s="2"/>
      <c r="F90" s="45"/>
      <c r="G90" s="7"/>
      <c r="H90" s="7"/>
    </row>
    <row r="91" spans="2:8" ht="12">
      <c r="B91" s="2"/>
      <c r="C91" s="45"/>
      <c r="D91" s="45"/>
      <c r="E91" s="2"/>
      <c r="F91" s="45"/>
      <c r="G91" s="7"/>
      <c r="H91" s="10"/>
    </row>
    <row r="92" spans="2:8" ht="12">
      <c r="B92" s="2"/>
      <c r="C92" s="45"/>
      <c r="D92" s="45"/>
      <c r="E92" s="2"/>
      <c r="F92" s="45"/>
      <c r="G92" s="7"/>
      <c r="H92" s="8"/>
    </row>
    <row r="93" spans="2:8" ht="12">
      <c r="B93" s="2"/>
      <c r="C93" s="45"/>
      <c r="D93" s="45"/>
      <c r="E93" s="2"/>
      <c r="F93" s="45"/>
      <c r="G93" s="10"/>
      <c r="H93" s="10"/>
    </row>
    <row r="94" spans="2:8" ht="12">
      <c r="B94" s="2"/>
      <c r="C94" s="45"/>
      <c r="D94" s="45"/>
      <c r="E94" s="2"/>
      <c r="F94" s="45"/>
      <c r="G94" s="10"/>
      <c r="H94" s="10"/>
    </row>
    <row r="95" spans="2:8" ht="12">
      <c r="B95" s="2"/>
      <c r="C95" s="45"/>
      <c r="D95" s="45"/>
      <c r="E95" s="2"/>
      <c r="F95" s="45"/>
      <c r="G95" s="19"/>
      <c r="H95" s="19"/>
    </row>
    <row r="96" spans="2:8" ht="12">
      <c r="B96" s="21"/>
      <c r="C96" s="21"/>
      <c r="D96" s="21"/>
      <c r="E96" s="46"/>
      <c r="F96" s="43"/>
      <c r="G96" s="21"/>
      <c r="H96" s="21"/>
    </row>
    <row r="97" spans="2:8" ht="12">
      <c r="B97" s="21"/>
      <c r="C97" s="21"/>
      <c r="D97" s="21"/>
      <c r="E97" s="47"/>
      <c r="F97" s="45"/>
      <c r="G97" s="21"/>
      <c r="H97" s="21"/>
    </row>
    <row r="98" spans="2:8" ht="12">
      <c r="B98" s="21"/>
      <c r="C98" s="21"/>
      <c r="D98" s="21"/>
      <c r="E98" s="21"/>
      <c r="F98" s="21"/>
      <c r="G98" s="21"/>
      <c r="H98" s="21"/>
    </row>
    <row r="99" spans="2:8" ht="12">
      <c r="B99" s="21"/>
      <c r="C99" s="21"/>
      <c r="D99" s="21"/>
      <c r="E99" s="21"/>
      <c r="F99" s="21"/>
      <c r="G99" s="21"/>
      <c r="H99" s="21"/>
    </row>
    <row r="100" spans="2:8" ht="12">
      <c r="B100" s="21"/>
      <c r="C100" s="21"/>
      <c r="D100" s="21"/>
      <c r="E100" s="21"/>
      <c r="F100" s="21"/>
      <c r="G100" s="21"/>
      <c r="H100" s="21"/>
    </row>
    <row r="101" spans="2:8" ht="12">
      <c r="B101" s="21"/>
      <c r="C101" s="21"/>
      <c r="D101" s="21"/>
      <c r="E101" s="21"/>
      <c r="F101" s="21"/>
      <c r="G101" s="21"/>
      <c r="H101" s="21"/>
    </row>
    <row r="102" spans="1:8" ht="12">
      <c r="A102" s="20"/>
      <c r="B102" s="21"/>
      <c r="C102" s="21"/>
      <c r="D102" s="21"/>
      <c r="E102" s="21"/>
      <c r="F102" s="21"/>
      <c r="G102" s="21"/>
      <c r="H102" s="21"/>
    </row>
    <row r="103" spans="1:8" ht="12">
      <c r="A103" s="20"/>
      <c r="B103" s="21"/>
      <c r="C103" s="21"/>
      <c r="D103" s="21"/>
      <c r="E103" s="21"/>
      <c r="F103" s="21"/>
      <c r="G103" s="21"/>
      <c r="H103" s="21"/>
    </row>
    <row r="104" spans="1:8" ht="12">
      <c r="A104" s="20"/>
      <c r="B104" s="21"/>
      <c r="C104" s="21"/>
      <c r="D104" s="21"/>
      <c r="E104" s="21"/>
      <c r="F104" s="21"/>
      <c r="G104" s="21"/>
      <c r="H104" s="21"/>
    </row>
    <row r="105" spans="1:8" ht="12">
      <c r="A105" s="20"/>
      <c r="B105" s="21"/>
      <c r="C105" s="21"/>
      <c r="D105" s="21"/>
      <c r="E105" s="21"/>
      <c r="F105" s="21"/>
      <c r="G105" s="21"/>
      <c r="H105" s="21"/>
    </row>
    <row r="106" spans="1:8" ht="12">
      <c r="A106" s="20"/>
      <c r="B106" s="21"/>
      <c r="C106" s="21"/>
      <c r="D106" s="21"/>
      <c r="E106" s="21"/>
      <c r="F106" s="21"/>
      <c r="G106" s="21"/>
      <c r="H106" s="21"/>
    </row>
    <row r="107" spans="1:8" ht="12">
      <c r="A107" s="20"/>
      <c r="B107" s="21"/>
      <c r="C107" s="21"/>
      <c r="D107" s="21"/>
      <c r="E107" s="21"/>
      <c r="F107" s="21"/>
      <c r="G107" s="21"/>
      <c r="H107" s="21"/>
    </row>
    <row r="108" spans="1:8" ht="12">
      <c r="A108" s="20"/>
      <c r="B108" s="21"/>
      <c r="C108" s="21"/>
      <c r="D108" s="21"/>
      <c r="E108" s="21"/>
      <c r="F108" s="21"/>
      <c r="G108" s="21"/>
      <c r="H108" s="21"/>
    </row>
    <row r="109" spans="1:8" ht="12">
      <c r="A109" s="20"/>
      <c r="B109" s="21"/>
      <c r="C109" s="21"/>
      <c r="D109" s="21"/>
      <c r="E109" s="21"/>
      <c r="F109" s="21"/>
      <c r="G109" s="21"/>
      <c r="H109" s="21"/>
    </row>
    <row r="110" spans="1:8" ht="12">
      <c r="A110" s="20"/>
      <c r="B110" s="21"/>
      <c r="C110" s="21"/>
      <c r="D110" s="21"/>
      <c r="E110" s="21"/>
      <c r="F110" s="21"/>
      <c r="G110" s="21"/>
      <c r="H110" s="21"/>
    </row>
    <row r="111" spans="1:8" ht="12">
      <c r="A111" s="20"/>
      <c r="B111" s="21"/>
      <c r="C111" s="21"/>
      <c r="D111" s="21"/>
      <c r="E111" s="21"/>
      <c r="F111" s="21"/>
      <c r="G111" s="21"/>
      <c r="H111" s="21"/>
    </row>
    <row r="112" spans="1:8" ht="12">
      <c r="A112" s="20"/>
      <c r="B112" s="21"/>
      <c r="C112" s="21"/>
      <c r="D112" s="21"/>
      <c r="E112" s="21"/>
      <c r="F112" s="21"/>
      <c r="G112" s="21"/>
      <c r="H112" s="21"/>
    </row>
    <row r="113" spans="1:8" ht="12">
      <c r="A113" s="20"/>
      <c r="B113" s="21"/>
      <c r="C113" s="21"/>
      <c r="D113" s="21"/>
      <c r="E113" s="21"/>
      <c r="F113" s="21"/>
      <c r="G113" s="21"/>
      <c r="H113" s="21"/>
    </row>
    <row r="114" spans="1:8" ht="12">
      <c r="A114" s="20"/>
      <c r="B114" s="21"/>
      <c r="C114" s="21"/>
      <c r="D114" s="21"/>
      <c r="E114" s="21"/>
      <c r="F114" s="21"/>
      <c r="G114" s="21"/>
      <c r="H114" s="21"/>
    </row>
    <row r="115" spans="1:8" ht="12">
      <c r="A115" s="20"/>
      <c r="B115" s="21"/>
      <c r="C115" s="21"/>
      <c r="D115" s="21"/>
      <c r="E115" s="21"/>
      <c r="F115" s="21"/>
      <c r="G115" s="21"/>
      <c r="H115" s="21"/>
    </row>
    <row r="116" spans="1:8" ht="12">
      <c r="A116" s="7"/>
      <c r="B116" s="19"/>
      <c r="C116" s="19"/>
      <c r="D116" s="19"/>
      <c r="E116" s="19"/>
      <c r="F116" s="19"/>
      <c r="G116" s="19"/>
      <c r="H116" s="19"/>
    </row>
    <row r="117" spans="1:8" ht="12">
      <c r="A117" s="18"/>
      <c r="B117" s="21"/>
      <c r="C117" s="21"/>
      <c r="D117" s="21"/>
      <c r="E117" s="21"/>
      <c r="F117" s="21"/>
      <c r="G117" s="21"/>
      <c r="H117" s="21"/>
    </row>
    <row r="118" spans="1:8" ht="12">
      <c r="A118" s="8"/>
      <c r="B118" s="7"/>
      <c r="C118" s="7"/>
      <c r="D118" s="7"/>
      <c r="E118" s="7"/>
      <c r="F118" s="7"/>
      <c r="G118" s="7"/>
      <c r="H118" s="7"/>
    </row>
    <row r="119" spans="1:8" ht="12">
      <c r="A119" s="7"/>
      <c r="B119" s="7"/>
      <c r="C119" s="7"/>
      <c r="D119" s="21"/>
      <c r="E119" s="7"/>
      <c r="F119" s="7"/>
      <c r="G119" s="7"/>
      <c r="H119" s="21"/>
    </row>
    <row r="120" spans="1:8" ht="12">
      <c r="A120" s="7"/>
      <c r="B120" s="7"/>
      <c r="C120" s="7"/>
      <c r="D120" s="7"/>
      <c r="E120" s="7"/>
      <c r="F120" s="7"/>
      <c r="G120" s="7"/>
      <c r="H120" s="7"/>
    </row>
    <row r="121" spans="1:8" ht="12">
      <c r="A121" s="8"/>
      <c r="B121" s="7"/>
      <c r="C121" s="7"/>
      <c r="D121" s="7"/>
      <c r="E121" s="7"/>
      <c r="F121" s="7"/>
      <c r="G121" s="7"/>
      <c r="H121" s="7"/>
    </row>
    <row r="122" spans="1:8" ht="12">
      <c r="A122" s="8"/>
      <c r="B122" s="7"/>
      <c r="C122" s="7"/>
      <c r="D122" s="7"/>
      <c r="E122" s="7"/>
      <c r="F122" s="7"/>
      <c r="G122" s="7"/>
      <c r="H122" s="7"/>
    </row>
    <row r="123" spans="1:8" ht="12">
      <c r="A123" s="7"/>
      <c r="B123" s="7"/>
      <c r="C123" s="7"/>
      <c r="D123" s="7"/>
      <c r="E123" s="7"/>
      <c r="F123" s="8"/>
      <c r="G123" s="7"/>
      <c r="H123" s="10"/>
    </row>
    <row r="124" spans="1:8" ht="12">
      <c r="A124" s="7"/>
      <c r="B124" s="10"/>
      <c r="C124" s="7"/>
      <c r="D124" s="7"/>
      <c r="E124" s="10"/>
      <c r="F124" s="8"/>
      <c r="G124" s="7"/>
      <c r="H124" s="8"/>
    </row>
    <row r="125" spans="1:8" ht="12">
      <c r="A125" s="7"/>
      <c r="B125" s="10"/>
      <c r="C125" s="10"/>
      <c r="D125" s="18"/>
      <c r="E125" s="10"/>
      <c r="F125" s="10"/>
      <c r="G125" s="10"/>
      <c r="H125" s="10"/>
    </row>
    <row r="126" spans="1:8" ht="12">
      <c r="A126" s="18"/>
      <c r="B126" s="18"/>
      <c r="C126" s="18"/>
      <c r="D126" s="10"/>
      <c r="E126" s="18"/>
      <c r="F126" s="10"/>
      <c r="G126" s="10"/>
      <c r="H126" s="10"/>
    </row>
    <row r="127" spans="1:8" ht="12">
      <c r="A127" s="19"/>
      <c r="B127" s="19"/>
      <c r="C127" s="19"/>
      <c r="D127" s="19"/>
      <c r="E127" s="19"/>
      <c r="F127" s="19"/>
      <c r="G127" s="19"/>
      <c r="H127" s="19"/>
    </row>
    <row r="128" spans="1:8" ht="12">
      <c r="A128" s="20"/>
      <c r="B128" s="21"/>
      <c r="C128" s="21"/>
      <c r="D128" s="21"/>
      <c r="E128" s="21"/>
      <c r="F128" s="21"/>
      <c r="G128" s="21"/>
      <c r="H128" s="21"/>
    </row>
    <row r="129" spans="1:8" ht="12">
      <c r="A129" s="20"/>
      <c r="B129" s="21"/>
      <c r="C129" s="21"/>
      <c r="D129" s="21"/>
      <c r="E129" s="21"/>
      <c r="F129" s="21"/>
      <c r="G129" s="21"/>
      <c r="H129" s="21"/>
    </row>
    <row r="130" spans="1:8" ht="12">
      <c r="A130" s="20"/>
      <c r="B130" s="21"/>
      <c r="C130" s="21"/>
      <c r="D130" s="21"/>
      <c r="E130" s="21"/>
      <c r="F130" s="21"/>
      <c r="G130" s="21"/>
      <c r="H130" s="21"/>
    </row>
    <row r="131" spans="1:8" ht="12">
      <c r="A131" s="20"/>
      <c r="B131" s="21"/>
      <c r="C131" s="21"/>
      <c r="D131" s="21"/>
      <c r="E131" s="21"/>
      <c r="F131" s="21"/>
      <c r="G131" s="21"/>
      <c r="H131" s="21"/>
    </row>
    <row r="132" spans="1:8" ht="12">
      <c r="A132" s="20"/>
      <c r="B132" s="21"/>
      <c r="C132" s="21"/>
      <c r="D132" s="21"/>
      <c r="E132" s="21"/>
      <c r="F132" s="21"/>
      <c r="G132" s="21"/>
      <c r="H132" s="21"/>
    </row>
    <row r="133" spans="1:8" ht="12">
      <c r="A133" s="20"/>
      <c r="B133" s="21"/>
      <c r="C133" s="21"/>
      <c r="D133" s="21"/>
      <c r="E133" s="21"/>
      <c r="F133" s="21"/>
      <c r="G133" s="21"/>
      <c r="H133" s="21"/>
    </row>
    <row r="134" spans="1:8" ht="12">
      <c r="A134" s="20"/>
      <c r="B134" s="21"/>
      <c r="C134" s="21"/>
      <c r="D134" s="21"/>
      <c r="E134" s="21"/>
      <c r="F134" s="21"/>
      <c r="G134" s="21"/>
      <c r="H134" s="21"/>
    </row>
    <row r="135" spans="1:8" ht="12">
      <c r="A135" s="20"/>
      <c r="B135" s="21"/>
      <c r="C135" s="21"/>
      <c r="D135" s="21"/>
      <c r="E135" s="21"/>
      <c r="F135" s="21"/>
      <c r="G135" s="21"/>
      <c r="H135" s="21"/>
    </row>
    <row r="136" spans="1:8" ht="12">
      <c r="A136" s="20"/>
      <c r="B136" s="21"/>
      <c r="C136" s="21"/>
      <c r="D136" s="21"/>
      <c r="E136" s="21"/>
      <c r="F136" s="21"/>
      <c r="G136" s="21"/>
      <c r="H136" s="21"/>
    </row>
    <row r="137" spans="1:8" ht="12">
      <c r="A137" s="20"/>
      <c r="B137" s="21"/>
      <c r="C137" s="21"/>
      <c r="D137" s="21"/>
      <c r="E137" s="21"/>
      <c r="F137" s="21"/>
      <c r="G137" s="21"/>
      <c r="H137" s="21"/>
    </row>
    <row r="138" spans="1:8" ht="12">
      <c r="A138" s="20"/>
      <c r="B138" s="21"/>
      <c r="C138" s="21"/>
      <c r="D138" s="21"/>
      <c r="E138" s="21"/>
      <c r="F138" s="21"/>
      <c r="G138" s="21"/>
      <c r="H138" s="21"/>
    </row>
    <row r="139" spans="1:8" ht="12">
      <c r="A139" s="20"/>
      <c r="B139" s="21"/>
      <c r="C139" s="21"/>
      <c r="D139" s="21"/>
      <c r="E139" s="21"/>
      <c r="F139" s="21"/>
      <c r="G139" s="21"/>
      <c r="H139" s="21"/>
    </row>
    <row r="140" spans="1:8" ht="12">
      <c r="A140" s="20"/>
      <c r="B140" s="21"/>
      <c r="C140" s="21"/>
      <c r="D140" s="21"/>
      <c r="E140" s="21"/>
      <c r="F140" s="21"/>
      <c r="G140" s="21"/>
      <c r="H140" s="21"/>
    </row>
    <row r="141" spans="1:8" ht="12">
      <c r="A141" s="20"/>
      <c r="B141" s="21"/>
      <c r="C141" s="21"/>
      <c r="D141" s="21"/>
      <c r="E141" s="21"/>
      <c r="F141" s="21"/>
      <c r="G141" s="21"/>
      <c r="H141" s="21"/>
    </row>
    <row r="142" spans="1:8" ht="12">
      <c r="A142" s="20"/>
      <c r="B142" s="21"/>
      <c r="C142" s="21"/>
      <c r="D142" s="21"/>
      <c r="E142" s="21"/>
      <c r="F142" s="21"/>
      <c r="G142" s="21"/>
      <c r="H142" s="21"/>
    </row>
    <row r="143" spans="1:8" ht="12">
      <c r="A143" s="20"/>
      <c r="B143" s="21"/>
      <c r="C143" s="21"/>
      <c r="D143" s="21"/>
      <c r="E143" s="21"/>
      <c r="F143" s="21"/>
      <c r="G143" s="21"/>
      <c r="H143" s="21"/>
    </row>
    <row r="144" spans="1:8" ht="12">
      <c r="A144" s="20"/>
      <c r="B144" s="21"/>
      <c r="C144" s="21"/>
      <c r="D144" s="21"/>
      <c r="E144" s="21"/>
      <c r="F144" s="21"/>
      <c r="G144" s="21"/>
      <c r="H144" s="21"/>
    </row>
    <row r="145" spans="1:8" ht="12">
      <c r="A145" s="20"/>
      <c r="B145" s="21"/>
      <c r="C145" s="21"/>
      <c r="D145" s="21"/>
      <c r="E145" s="21"/>
      <c r="F145" s="21"/>
      <c r="G145" s="21"/>
      <c r="H145" s="21"/>
    </row>
    <row r="146" spans="1:8" ht="12">
      <c r="A146" s="20"/>
      <c r="B146" s="21"/>
      <c r="C146" s="21"/>
      <c r="D146" s="21"/>
      <c r="E146" s="21"/>
      <c r="F146" s="21"/>
      <c r="G146" s="21"/>
      <c r="H146" s="21"/>
    </row>
    <row r="147" spans="1:8" ht="12">
      <c r="A147" s="20"/>
      <c r="B147" s="21"/>
      <c r="C147" s="21"/>
      <c r="D147" s="21"/>
      <c r="E147" s="21"/>
      <c r="F147" s="21"/>
      <c r="G147" s="21"/>
      <c r="H147" s="21"/>
    </row>
    <row r="148" spans="1:8" ht="12">
      <c r="A148" s="20"/>
      <c r="B148" s="21"/>
      <c r="C148" s="21"/>
      <c r="D148" s="21"/>
      <c r="E148" s="21"/>
      <c r="F148" s="21"/>
      <c r="G148" s="21"/>
      <c r="H148" s="21"/>
    </row>
    <row r="149" spans="1:8" ht="12">
      <c r="A149" s="20"/>
      <c r="B149" s="21"/>
      <c r="C149" s="21"/>
      <c r="D149" s="21"/>
      <c r="E149" s="21"/>
      <c r="F149" s="21"/>
      <c r="G149" s="21"/>
      <c r="H149" s="21"/>
    </row>
    <row r="150" spans="1:8" ht="12">
      <c r="A150" s="20"/>
      <c r="B150" s="21"/>
      <c r="C150" s="21"/>
      <c r="D150" s="21"/>
      <c r="E150" s="21"/>
      <c r="F150" s="21"/>
      <c r="G150" s="21"/>
      <c r="H150" s="21"/>
    </row>
    <row r="151" spans="1:8" ht="12">
      <c r="A151" s="20"/>
      <c r="B151" s="21"/>
      <c r="C151" s="21"/>
      <c r="D151" s="21"/>
      <c r="E151" s="21"/>
      <c r="F151" s="21"/>
      <c r="G151" s="21"/>
      <c r="H151" s="21"/>
    </row>
    <row r="152" spans="1:8" ht="12">
      <c r="A152" s="20"/>
      <c r="B152" s="21"/>
      <c r="C152" s="21"/>
      <c r="D152" s="21"/>
      <c r="E152" s="21"/>
      <c r="F152" s="21"/>
      <c r="G152" s="21"/>
      <c r="H152" s="21"/>
    </row>
    <row r="153" spans="1:8" ht="12">
      <c r="A153" s="20"/>
      <c r="B153" s="21"/>
      <c r="C153" s="21"/>
      <c r="D153" s="21"/>
      <c r="E153" s="21"/>
      <c r="F153" s="21"/>
      <c r="G153" s="21"/>
      <c r="H153" s="21"/>
    </row>
    <row r="154" spans="1:8" ht="12">
      <c r="A154" s="7"/>
      <c r="B154" s="19"/>
      <c r="C154" s="19"/>
      <c r="D154" s="19"/>
      <c r="E154" s="19"/>
      <c r="F154" s="19"/>
      <c r="G154" s="19"/>
      <c r="H154" s="19"/>
    </row>
    <row r="155" spans="1:8" ht="12">
      <c r="A155" s="18"/>
      <c r="B155" s="21"/>
      <c r="C155" s="21"/>
      <c r="D155" s="21"/>
      <c r="E155" s="21"/>
      <c r="F155" s="21"/>
      <c r="G155" s="21"/>
      <c r="H155" s="21"/>
    </row>
    <row r="156" spans="1:8" ht="12">
      <c r="A156" s="8"/>
      <c r="B156" s="7"/>
      <c r="C156" s="7"/>
      <c r="D156" s="7"/>
      <c r="E156" s="7"/>
      <c r="F156" s="7"/>
      <c r="G156" s="7"/>
      <c r="H156" s="7"/>
    </row>
    <row r="157" spans="1:8" ht="12">
      <c r="A157" s="7"/>
      <c r="B157" s="7"/>
      <c r="C157" s="7"/>
      <c r="D157" s="7"/>
      <c r="E157" s="7"/>
      <c r="F157" s="7"/>
      <c r="G157" s="7"/>
      <c r="H157" s="7"/>
    </row>
  </sheetData>
  <sheetProtection sheet="1"/>
  <conditionalFormatting sqref="G25">
    <cfRule type="cellIs" priority="1" dxfId="1" operator="greaterThan" stopIfTrue="1">
      <formula>0</formula>
    </cfRule>
    <cfRule type="cellIs" priority="2" dxfId="0" operator="lessThanOrEqual" stopIfTrue="1">
      <formula>0</formula>
    </cfRule>
  </conditionalFormatting>
  <hyperlinks>
    <hyperlink ref="AB12" r:id="rId1" display="=@if((AD11-AE11)&gt;0,(ad11-ae11),0)"/>
    <hyperlink ref="AC12" r:id="rId2" display="=@if((AD$9-AF13)&gt;ad13,9999,8888)"/>
    <hyperlink ref="AB13" r:id="rId3" display="=@if((AD11-AE11)&gt;0,(ad11-ae11),0)"/>
    <hyperlink ref="AB14" r:id="rId4" display="=@if((AD11-AE11)&gt;0,(ad11-ae11),0)"/>
    <hyperlink ref="AB15" r:id="rId5" display="=@if((AD11-AE11)&gt;0,(ad11-ae11),0)"/>
    <hyperlink ref="AB16" r:id="rId6" display="=@if((AD11-AE11)&gt;0,(ad11-ae11),0)"/>
    <hyperlink ref="AB17" r:id="rId7" display="=@if((AD11-AE11)&gt;0,(ad11-ae11),0)"/>
    <hyperlink ref="AB18" r:id="rId8" display="=@if((AD11-AE11)&gt;0,(ad11-ae11),0)"/>
    <hyperlink ref="AB19" r:id="rId9" display="=@if((AD11-AE11)&gt;0,(ad11-ae11),0)"/>
    <hyperlink ref="AB20" r:id="rId10" display="=@if((AD11-AE11)&gt;0,(ad11-ae11),0)"/>
    <hyperlink ref="AB21" r:id="rId11" display="=@if((AD11-AE11)&gt;0,(ad11-ae11),0)"/>
    <hyperlink ref="AB22" r:id="rId12" display="=@if((AD11-AE11)&gt;0,(ad11-ae11),0)"/>
    <hyperlink ref="AB23" r:id="rId13" display="=@if((AD11-AE11)&gt;0,(ad11-ae11),0)"/>
    <hyperlink ref="AB24" r:id="rId14" display="=@if((AD11-AE11)&gt;0,(ad11-ae11),0)"/>
    <hyperlink ref="AB25" r:id="rId15" display="=@if((AD11-AE11)&gt;0,(ad11-ae11),0)"/>
    <hyperlink ref="AB26" r:id="rId16" display="=@if((AD11-AE11)&gt;0,(ad11-ae11),0)"/>
    <hyperlink ref="AB27" r:id="rId17" display="=@if((AD11-AE11)&gt;0,(ad11-ae11),0)"/>
    <hyperlink ref="AB28" r:id="rId18" display="=@if((AD11-AE11)&gt;0,(ad11-ae11),0)"/>
    <hyperlink ref="AB29" r:id="rId19" display="=@if((AD11-AE11)&gt;0,(ad11-ae11),0)"/>
    <hyperlink ref="AB30" r:id="rId20" display="=@if((AD11-AE11)&gt;0,(ad11-ae11),0)"/>
    <hyperlink ref="AB31" r:id="rId21" display="=@if((AD11-AE11)&gt;0,(ad11-ae11),0)"/>
    <hyperlink ref="AB32" r:id="rId22" display="=@if((AD11-AE11)&gt;0,(ad11-ae11),0)"/>
    <hyperlink ref="AB33" r:id="rId23" display="=@if((AD11-AE11)&gt;0,(ad11-ae11),0)"/>
    <hyperlink ref="AB34" r:id="rId24" display="=@if((AD11-AE11)&gt;0,(ad11-ae11),0)"/>
    <hyperlink ref="AB35" r:id="rId25" display="=@if((AD11-AE11)&gt;0,(ad11-ae11),0)"/>
    <hyperlink ref="AB36" r:id="rId26" display="=@if((AD11-AE11)&gt;0,(ad11-ae11),0)"/>
    <hyperlink ref="AC13" r:id="rId27" display="=@if((AD$9-AF13)&gt;ad13,9999,8888)"/>
    <hyperlink ref="AC14" r:id="rId28" display="=@if((AD$9-AF13)&gt;ad13,9999,8888)"/>
    <hyperlink ref="AC15" r:id="rId29" display="=@if((AD$9-AF13)&gt;ad13,9999,8888)"/>
    <hyperlink ref="AC16" r:id="rId30" display="=@if((AD$9-AF13)&gt;ad13,9999,8888)"/>
    <hyperlink ref="AC17" r:id="rId31" display="=@if((AD$9-AF13)&gt;ad13,9999,8888)"/>
    <hyperlink ref="AC18" r:id="rId32" display="=@if((AD$9-AF13)&gt;ad13,9999,8888)"/>
    <hyperlink ref="AC19" r:id="rId33" display="=@if((AD$9-AF13)&gt;ad13,9999,8888)"/>
    <hyperlink ref="AC20" r:id="rId34" display="=@if((AD$9-AF13)&gt;ad13,9999,8888)"/>
    <hyperlink ref="AC21" r:id="rId35" display="=@if((AD$9-AF13)&gt;ad13,9999,8888)"/>
    <hyperlink ref="AC22" r:id="rId36" display="=@if((AD$9-AF13)&gt;ad13,9999,8888)"/>
    <hyperlink ref="AC23" r:id="rId37" display="=@if((AD$9-AF13)&gt;ad13,9999,8888)"/>
    <hyperlink ref="AC24" r:id="rId38" display="=@if((AD$9-AF13)&gt;ad13,9999,8888)"/>
    <hyperlink ref="AC25" r:id="rId39" display="=@if((AD$9-AF13)&gt;ad13,9999,8888)"/>
    <hyperlink ref="AC26" r:id="rId40" display="=@if((AD$9-AF13)&gt;ad13,9999,8888)"/>
    <hyperlink ref="AC27" r:id="rId41" display="=@if((AD$9-AF13)&gt;ad13,9999,8888)"/>
    <hyperlink ref="AC28" r:id="rId42" display="=@if((AD$9-AF13)&gt;ad13,9999,8888)"/>
    <hyperlink ref="AC29" r:id="rId43" display="=@if((AD$9-AF13)&gt;ad13,9999,8888)"/>
    <hyperlink ref="AC30" r:id="rId44" display="=@if((AD$9-AF13)&gt;ad13,9999,8888)"/>
    <hyperlink ref="AC31" r:id="rId45" display="=@if((AD$9-AF13)&gt;ad13,9999,8888)"/>
    <hyperlink ref="AC32" r:id="rId46" display="=@if((AD$9-AF13)&gt;ad13,9999,8888)"/>
    <hyperlink ref="AC33" r:id="rId47" display="=@if((AD$9-AF13)&gt;ad13,9999,8888)"/>
    <hyperlink ref="AC34" r:id="rId48" display="=@if((AD$9-AF13)&gt;ad13,9999,8888)"/>
    <hyperlink ref="AC35" r:id="rId49" display="=@if((AD$9-AF13)&gt;ad13,9999,8888)"/>
    <hyperlink ref="AC36" r:id="rId50" display="=@if((AD$9-AF13)&gt;ad13,9999,8888)"/>
  </hyperlinks>
  <printOptions/>
  <pageMargins left="0.75" right="0.75" top="1" bottom="1" header="0.5" footer="0.5"/>
  <pageSetup fitToHeight="1" fitToWidth="1" horizontalDpi="355" verticalDpi="355"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rbetz</dc:creator>
  <cp:keywords/>
  <dc:description/>
  <cp:lastModifiedBy>Adam Kantrovich</cp:lastModifiedBy>
  <cp:lastPrinted>2013-09-09T18:50:58Z</cp:lastPrinted>
  <dcterms:created xsi:type="dcterms:W3CDTF">2004-01-26T20:40:39Z</dcterms:created>
  <dcterms:modified xsi:type="dcterms:W3CDTF">2015-03-02T19:08:58Z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