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Switch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<sst xmlns="http://schemas.openxmlformats.org/spreadsheetml/2006/main" count="70" uniqueCount="60">
  <si>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Switchgrass</t>
  </si>
  <si>
    <t>Perennial  - Med Input</t>
  </si>
  <si>
    <t>Qty</t>
  </si>
  <si>
    <t>Unit</t>
  </si>
  <si>
    <t>Price /Unit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</si>
  <si>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</si>
  <si>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</si>
  <si>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</si>
  <si>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</si>
  <si>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</si>
  <si>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</si>
  <si>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</si>
  <si>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</si>
  <si>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</si>
  <si>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</si>
  <si>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Total</t>
  </si>
  <si>
    <t>Present Value</t>
  </si>
  <si>
    <t>Annualized PV  (compare to corn yearly cost)</t>
  </si>
  <si>
    <t>REVENUE SOURCE</t>
  </si>
  <si>
    <t>Biomass Yield</t>
  </si>
  <si>
    <t>ton</t>
  </si>
  <si>
    <t>Revenue Stream</t>
  </si>
  <si>
    <t>SELECT CASH EXPENSES</t>
  </si>
  <si>
    <t>Seed</t>
  </si>
  <si>
    <t>Cave-in-Rock</t>
  </si>
  <si>
    <t>PLS lb</t>
  </si>
  <si>
    <t>Fertilizer</t>
  </si>
  <si>
    <t>Nitrogen</t>
  </si>
  <si>
    <t>lbs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</si>
  <si>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</si>
  <si>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t>lbs/ton</t>
  </si>
  <si>
    <r>
      <t>K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</si>
  <si>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Pest Control</t>
  </si>
  <si>
    <t>WSG spray</t>
  </si>
  <si>
    <t>acre</t>
  </si>
  <si>
    <t>Machine Costs</t>
  </si>
  <si>
    <t>Chisel Plow</t>
  </si>
  <si>
    <t>Soil Finish</t>
  </si>
  <si>
    <t>Grass Seeder, broadcast</t>
  </si>
  <si>
    <t>Sprayer</t>
  </si>
  <si>
    <t>Post-harvest</t>
  </si>
  <si>
    <t>Mower-condition (16')</t>
  </si>
  <si>
    <t>Raking - Hay 9ft</t>
  </si>
  <si>
    <t>Baling - lg round</t>
  </si>
  <si>
    <t>1500# bale</t>
  </si>
  <si>
    <t>Bale-to-storage</t>
  </si>
  <si>
    <t>Trucking</t>
  </si>
  <si>
    <t>Marketing</t>
  </si>
  <si>
    <t>TOTAL CASH EXPENSES</t>
  </si>
  <si>
    <t>REV ABOVE EXPENSES</t>
  </si>
  <si>
    <r>
      <t>Labor</t>
    </r>
    <r>
      <rPr>
        <vertAlign val="superscript"/>
        <sz val="11"/>
        <color indexed="8"/>
        <rFont val="Calibri"/>
        <family val="2"/>
      </rPr>
      <t>1</t>
    </r>
  </si>
  <si>
    <t>hours/acre</t>
  </si>
  <si>
    <t xml:space="preserve">1. Assumes no harvest in first year and limited yield in second year.  See Biomass yield (line 6) for estimated yields each year. </t>
  </si>
  <si>
    <t>Calculation Assumptions:</t>
  </si>
  <si>
    <t>Interest Rate</t>
  </si>
  <si>
    <t>Years of Production</t>
  </si>
  <si>
    <t>(1+i)^n - 1</t>
  </si>
  <si>
    <t>Extension Bulletin E-3084, Profitability of Converting to Biofuel Crops</t>
  </si>
  <si>
    <t>i(1+i)^n</t>
  </si>
  <si>
    <t>Web: http://bioenergy.msu.edu/economics/index.shtml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</si>
</sst>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8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4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2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41</xdr:row>
      <xdr:rowOff>123825</xdr:rowOff>
    </xdr:from>
    <xdr:to>
      <xdr:col>9</xdr:col>
      <xdr:colOff>400050</xdr:colOff>
      <xdr:row>44</xdr:row>
      <xdr:rowOff>123825</xdr:rowOff>
    </xdr:to>
    <xdr:pic>
      <xdr:nvPicPr>
        <xdr:cNvPr id="1" name="Picture 1" descr="msue11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6106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80" zoomScaleNormal="80" zoomScalePageLayoutView="0" workbookViewId="0" topLeftCell="A1">
      <selection activeCell="A1" sqref="A1:R45"/>
    </sheetView>
  </sheetViews>
  <sheetFormatPr defaultColWidth="9.140625" defaultRowHeight="15"/>
  <cols>
    <col min="1" max="1" width="9.140625" style="1" customWidth="1"/>
    <col min="2" max="2" width="22.421875" style="1" bestFit="1" customWidth="1"/>
    <col min="3" max="3" width="5.7109375" style="1" customWidth="1"/>
    <col min="4" max="4" width="10.57421875" style="1" bestFit="1" customWidth="1"/>
    <col min="5" max="5" width="10.421875" style="1" bestFit="1" customWidth="1"/>
    <col min="6" max="15" width="9.140625" style="2" customWidth="1"/>
    <col min="16" max="17" width="9.140625" style="1" customWidth="1"/>
    <col min="18" max="18" width="15.421875" style="1" customWidth="1"/>
    <col min="19" max="16384" width="9.140625" style="1" customWidth="1"/>
  </cols>
  <sheetData>
    <row r="1" ht="15">
      <c r="A1" s="1" t="s">
        <v>0</v>
      </c>
    </row>
    <row r="2" ht="15">
      <c r="A2" s="1" t="s">
        <v>1</v>
      </c>
    </row>
    <row r="3" spans="1:18" ht="60">
      <c r="A3" s="3"/>
      <c r="B3" s="3"/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5" t="s">
        <v>16</v>
      </c>
      <c r="R3" s="5" t="s">
        <v>17</v>
      </c>
    </row>
    <row r="4" spans="1:15" ht="15">
      <c r="A4" s="1" t="s">
        <v>18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7" ht="15">
      <c r="B5" s="1" t="s">
        <v>19</v>
      </c>
      <c r="C5" s="1">
        <v>4</v>
      </c>
      <c r="D5" s="1" t="s">
        <v>20</v>
      </c>
      <c r="E5" s="8"/>
      <c r="F5" s="7">
        <v>0</v>
      </c>
      <c r="G5" s="7">
        <f>0.67*C5</f>
        <v>2.68</v>
      </c>
      <c r="H5" s="7">
        <f>$C$5</f>
        <v>4</v>
      </c>
      <c r="I5" s="7">
        <f aca="true" t="shared" si="0" ref="I5:O5">$C$5</f>
        <v>4</v>
      </c>
      <c r="J5" s="7">
        <f t="shared" si="0"/>
        <v>4</v>
      </c>
      <c r="K5" s="7">
        <f t="shared" si="0"/>
        <v>4</v>
      </c>
      <c r="L5" s="7">
        <f t="shared" si="0"/>
        <v>4</v>
      </c>
      <c r="M5" s="7">
        <f t="shared" si="0"/>
        <v>4</v>
      </c>
      <c r="N5" s="7">
        <f t="shared" si="0"/>
        <v>4</v>
      </c>
      <c r="O5" s="7">
        <f t="shared" si="0"/>
        <v>4</v>
      </c>
      <c r="P5" s="7">
        <f>SUM(F5:O5)</f>
        <v>34.68</v>
      </c>
      <c r="Q5" s="9"/>
    </row>
    <row r="6" spans="2:18" ht="15">
      <c r="B6" s="1" t="s">
        <v>21</v>
      </c>
      <c r="E6" s="6">
        <v>60</v>
      </c>
      <c r="F6" s="10">
        <f>F5*$E$6</f>
        <v>0</v>
      </c>
      <c r="G6" s="10">
        <f aca="true" t="shared" si="1" ref="G6:O6">G5*$E$6</f>
        <v>160.8</v>
      </c>
      <c r="H6" s="10">
        <f t="shared" si="1"/>
        <v>240</v>
      </c>
      <c r="I6" s="10">
        <f t="shared" si="1"/>
        <v>240</v>
      </c>
      <c r="J6" s="10">
        <f t="shared" si="1"/>
        <v>240</v>
      </c>
      <c r="K6" s="10">
        <f t="shared" si="1"/>
        <v>240</v>
      </c>
      <c r="L6" s="10">
        <f t="shared" si="1"/>
        <v>240</v>
      </c>
      <c r="M6" s="10">
        <f t="shared" si="1"/>
        <v>240</v>
      </c>
      <c r="N6" s="10">
        <f t="shared" si="1"/>
        <v>240</v>
      </c>
      <c r="O6" s="10">
        <f t="shared" si="1"/>
        <v>240</v>
      </c>
      <c r="P6" s="11">
        <f>SUM(F6:O6)</f>
        <v>2080.8</v>
      </c>
      <c r="Q6" s="12">
        <f>NPV(0.05,F6:O6)</f>
        <v>1552.8082197390486</v>
      </c>
      <c r="R6" s="13">
        <f>Q6/($C$43/$C$44)</f>
        <v>201.09576850017297</v>
      </c>
    </row>
    <row r="7" spans="1:18" ht="15">
      <c r="A7" s="3"/>
      <c r="B7" s="3"/>
      <c r="C7" s="3"/>
      <c r="D7" s="3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</row>
    <row r="8" spans="1:18" ht="15">
      <c r="A8" s="1" t="s">
        <v>22</v>
      </c>
      <c r="E8" s="6"/>
      <c r="F8" s="10"/>
      <c r="G8" s="10"/>
      <c r="H8" s="10"/>
      <c r="I8" s="10"/>
      <c r="J8" s="10"/>
      <c r="K8" s="10"/>
      <c r="L8" s="10"/>
      <c r="M8" s="10"/>
      <c r="N8" s="10"/>
      <c r="O8" s="10"/>
      <c r="P8" s="12"/>
      <c r="Q8" s="12"/>
      <c r="R8" s="13"/>
    </row>
    <row r="9" spans="1:18" ht="15">
      <c r="A9" s="1" t="s">
        <v>23</v>
      </c>
      <c r="B9" s="1" t="s">
        <v>24</v>
      </c>
      <c r="C9" s="1">
        <v>5</v>
      </c>
      <c r="D9" s="1" t="s">
        <v>25</v>
      </c>
      <c r="E9" s="17">
        <v>11.33</v>
      </c>
      <c r="F9" s="10">
        <f>E9*C9</f>
        <v>56.65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1">
        <f>SUM(F9:O9)</f>
        <v>56.65</v>
      </c>
      <c r="Q9" s="12">
        <f>NPV(0.05,F9:O9)</f>
        <v>53.95238095238095</v>
      </c>
      <c r="R9" s="13">
        <f>Q9/($C$43/$C$44)</f>
        <v>6.987080163612497</v>
      </c>
    </row>
    <row r="10" spans="1:18" ht="15">
      <c r="A10" s="3"/>
      <c r="B10" s="3"/>
      <c r="C10" s="3"/>
      <c r="D10" s="3"/>
      <c r="E10" s="1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</row>
    <row r="11" spans="1:18" ht="15">
      <c r="A11" s="1" t="s">
        <v>26</v>
      </c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2"/>
      <c r="Q11" s="12"/>
      <c r="R11" s="13"/>
    </row>
    <row r="12" spans="2:18" ht="15">
      <c r="B12" s="1" t="s">
        <v>27</v>
      </c>
      <c r="C12" s="1">
        <v>60</v>
      </c>
      <c r="D12" s="1" t="s">
        <v>28</v>
      </c>
      <c r="E12" s="19">
        <v>0.46</v>
      </c>
      <c r="F12" s="13">
        <f>E12*C12*0</f>
        <v>0</v>
      </c>
      <c r="G12" s="13">
        <f>$E12*$C12</f>
        <v>27.6</v>
      </c>
      <c r="H12" s="13">
        <f aca="true" t="shared" si="2" ref="H12:O12">$E12*$C12</f>
        <v>27.6</v>
      </c>
      <c r="I12" s="13">
        <f t="shared" si="2"/>
        <v>27.6</v>
      </c>
      <c r="J12" s="13">
        <f t="shared" si="2"/>
        <v>27.6</v>
      </c>
      <c r="K12" s="13">
        <f t="shared" si="2"/>
        <v>27.6</v>
      </c>
      <c r="L12" s="13">
        <f t="shared" si="2"/>
        <v>27.6</v>
      </c>
      <c r="M12" s="13">
        <f t="shared" si="2"/>
        <v>27.6</v>
      </c>
      <c r="N12" s="13">
        <f t="shared" si="2"/>
        <v>27.6</v>
      </c>
      <c r="O12" s="13">
        <f t="shared" si="2"/>
        <v>27.6</v>
      </c>
      <c r="P12" s="11">
        <f>SUM(F12:O12)</f>
        <v>248.39999999999998</v>
      </c>
      <c r="Q12" s="12">
        <f>NPV(0.05,F12:O12)</f>
        <v>186.83416975978648</v>
      </c>
      <c r="R12" s="13">
        <f>Q12/($C$43/$C$44)</f>
        <v>24.19587974376513</v>
      </c>
    </row>
    <row r="13" spans="2:18" ht="18">
      <c r="B13" s="1" t="s">
        <v>29</v>
      </c>
      <c r="C13" s="1">
        <v>3.15</v>
      </c>
      <c r="D13" s="1" t="s">
        <v>30</v>
      </c>
      <c r="E13" s="19">
        <v>0.62</v>
      </c>
      <c r="F13" s="13">
        <f>25*E13</f>
        <v>15.5</v>
      </c>
      <c r="G13" s="13">
        <f>$E13*$C13*G5</f>
        <v>5.23404</v>
      </c>
      <c r="H13" s="13">
        <f>$E13*$C13*H5</f>
        <v>7.811999999999999</v>
      </c>
      <c r="I13" s="13">
        <f>$E13*$C13*I5</f>
        <v>7.811999999999999</v>
      </c>
      <c r="J13" s="13">
        <f>$E13*$C13*J5</f>
        <v>7.811999999999999</v>
      </c>
      <c r="K13" s="13">
        <f>$E13*$C13*K5</f>
        <v>7.811999999999999</v>
      </c>
      <c r="L13" s="13">
        <f>$E13*$C13*L5</f>
        <v>7.811999999999999</v>
      </c>
      <c r="M13" s="13">
        <f>$E13*$C13*M5</f>
        <v>7.811999999999999</v>
      </c>
      <c r="N13" s="13">
        <f>$E13*$C13*N5</f>
        <v>7.811999999999999</v>
      </c>
      <c r="O13" s="13">
        <f>$E13*$C13*O5</f>
        <v>7.811999999999999</v>
      </c>
      <c r="P13" s="11">
        <f>SUM(F13:O13)</f>
        <v>83.23003999999999</v>
      </c>
      <c r="Q13" s="12">
        <f>NPV(0.05,F13:O13)</f>
        <v>65.30581231441079</v>
      </c>
      <c r="R13" s="13">
        <f>Q13/($C$43/$C$44)</f>
        <v>8.457401466551657</v>
      </c>
    </row>
    <row r="14" spans="2:18" ht="18">
      <c r="B14" s="1" t="s">
        <v>31</v>
      </c>
      <c r="C14" s="1">
        <v>13.25</v>
      </c>
      <c r="D14" s="1" t="s">
        <v>30</v>
      </c>
      <c r="E14" s="19">
        <v>0.63</v>
      </c>
      <c r="F14" s="13">
        <f>50*E14</f>
        <v>31.5</v>
      </c>
      <c r="G14" s="13">
        <f>$E14*$C14*G5</f>
        <v>22.3713</v>
      </c>
      <c r="H14" s="13">
        <f>$E14*$C14*H5</f>
        <v>33.39</v>
      </c>
      <c r="I14" s="13">
        <f>$E14*$C14*I5</f>
        <v>33.39</v>
      </c>
      <c r="J14" s="13">
        <f>$E14*$C14*J5</f>
        <v>33.39</v>
      </c>
      <c r="K14" s="13">
        <f>$E14*$C14*K5</f>
        <v>33.39</v>
      </c>
      <c r="L14" s="13">
        <f>$E14*$C14*L5</f>
        <v>33.39</v>
      </c>
      <c r="M14" s="13">
        <f>$E14*$C14*M5</f>
        <v>33.39</v>
      </c>
      <c r="N14" s="13">
        <f>$E14*$C14*N5</f>
        <v>33.39</v>
      </c>
      <c r="O14" s="13">
        <f>$E14*$C14*O5</f>
        <v>33.39</v>
      </c>
      <c r="P14" s="11">
        <f>SUM(F14:O14)</f>
        <v>320.99129999999997</v>
      </c>
      <c r="Q14" s="12">
        <f>NPV(0.05,F14:O14)</f>
        <v>246.03444357119514</v>
      </c>
      <c r="R14" s="13">
        <f>Q14/($C$43/$C$44)</f>
        <v>31.862586041550266</v>
      </c>
    </row>
    <row r="15" spans="1:18" ht="15">
      <c r="A15" s="3"/>
      <c r="B15" s="3"/>
      <c r="C15" s="3"/>
      <c r="D15" s="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</row>
    <row r="16" spans="1:18" ht="15">
      <c r="A16" s="1" t="s">
        <v>32</v>
      </c>
      <c r="E16" s="1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  <c r="Q16" s="12"/>
      <c r="R16" s="13"/>
    </row>
    <row r="17" spans="2:18" ht="15">
      <c r="B17" s="1" t="s">
        <v>33</v>
      </c>
      <c r="C17" s="1">
        <v>1</v>
      </c>
      <c r="D17" s="1" t="s">
        <v>34</v>
      </c>
      <c r="E17" s="19">
        <v>13.74</v>
      </c>
      <c r="F17" s="13">
        <f>C17*E17*2</f>
        <v>27.48</v>
      </c>
      <c r="G17" s="13">
        <f>E17*C17</f>
        <v>13.74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1">
        <f>SUM(F17:O17)</f>
        <v>41.22</v>
      </c>
      <c r="Q17" s="12">
        <f>NPV(0.05,F17:O17)</f>
        <v>38.63401360544218</v>
      </c>
      <c r="R17" s="13">
        <f>Q17/($C$43/$C$44)</f>
        <v>5.00328151118246</v>
      </c>
    </row>
    <row r="18" spans="1:18" ht="15">
      <c r="A18" s="3"/>
      <c r="B18" s="3"/>
      <c r="C18" s="3"/>
      <c r="D18" s="3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</row>
    <row r="19" spans="1:18" ht="15">
      <c r="A19" s="1" t="s">
        <v>35</v>
      </c>
      <c r="E19" s="1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Q19" s="12"/>
      <c r="R19" s="13"/>
    </row>
    <row r="20" spans="2:18" ht="15">
      <c r="B20" s="1" t="s">
        <v>36</v>
      </c>
      <c r="C20" s="1">
        <v>1</v>
      </c>
      <c r="D20" s="1" t="s">
        <v>34</v>
      </c>
      <c r="E20" s="19">
        <v>14.17</v>
      </c>
      <c r="F20" s="13">
        <v>14.17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1">
        <f>SUM(F20:O20)</f>
        <v>14.17</v>
      </c>
      <c r="Q20" s="12">
        <f>NPV(0.05,F20:O20)</f>
        <v>13.495238095238095</v>
      </c>
      <c r="R20" s="13">
        <f>Q20/($C$43/$C$44)</f>
        <v>1.747695073581449</v>
      </c>
    </row>
    <row r="21" spans="2:18" ht="15">
      <c r="B21" s="1" t="s">
        <v>37</v>
      </c>
      <c r="C21" s="1">
        <v>1</v>
      </c>
      <c r="D21" s="1" t="s">
        <v>34</v>
      </c>
      <c r="E21" s="19">
        <v>11.1</v>
      </c>
      <c r="F21" s="13">
        <v>11.1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1">
        <f>SUM(F21:O21)</f>
        <v>11.1</v>
      </c>
      <c r="Q21" s="12">
        <f>NPV(0.05,F21:O21)</f>
        <v>10.571428571428571</v>
      </c>
      <c r="R21" s="13">
        <f>Q21/($C$43/$C$44)</f>
        <v>1.3690483639205422</v>
      </c>
    </row>
    <row r="22" spans="2:18" ht="15">
      <c r="B22" s="1" t="s">
        <v>38</v>
      </c>
      <c r="C22" s="1">
        <v>1</v>
      </c>
      <c r="D22" s="1" t="s">
        <v>34</v>
      </c>
      <c r="E22" s="19">
        <v>9</v>
      </c>
      <c r="F22" s="13">
        <f>E22*C22</f>
        <v>9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1">
        <f>SUM(F22:O22)</f>
        <v>9</v>
      </c>
      <c r="Q22" s="12">
        <f>NPV(0.05,F22:O22)</f>
        <v>8.571428571428571</v>
      </c>
      <c r="R22" s="13">
        <f>Q22/($C$43/$C$44)</f>
        <v>1.110039213989629</v>
      </c>
    </row>
    <row r="23" spans="2:18" ht="15">
      <c r="B23" s="1" t="s">
        <v>39</v>
      </c>
      <c r="C23" s="1">
        <v>1</v>
      </c>
      <c r="D23" s="1" t="s">
        <v>34</v>
      </c>
      <c r="E23" s="19">
        <v>5.6</v>
      </c>
      <c r="F23" s="13">
        <f>E23</f>
        <v>5.6</v>
      </c>
      <c r="G23" s="13">
        <f>E23*C23</f>
        <v>5.6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1">
        <f>SUM(F23:O23)</f>
        <v>11.2</v>
      </c>
      <c r="Q23" s="12">
        <f>NPV(0.05,F23:O23)</f>
        <v>10.412698412698413</v>
      </c>
      <c r="R23" s="13">
        <f>Q23/($C$43/$C$44)</f>
        <v>1.3484920821799935</v>
      </c>
    </row>
    <row r="24" spans="1:18" ht="15">
      <c r="A24" s="3"/>
      <c r="B24" s="3"/>
      <c r="C24" s="3"/>
      <c r="D24" s="3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</row>
    <row r="25" spans="1:18" ht="15">
      <c r="A25" s="1" t="s">
        <v>40</v>
      </c>
      <c r="E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2"/>
      <c r="R25" s="13"/>
    </row>
    <row r="26" spans="2:18" ht="15">
      <c r="B26" s="1" t="s">
        <v>41</v>
      </c>
      <c r="C26" s="1">
        <v>1</v>
      </c>
      <c r="D26" s="1" t="s">
        <v>34</v>
      </c>
      <c r="E26" s="19">
        <v>13.5</v>
      </c>
      <c r="F26" s="13">
        <v>0</v>
      </c>
      <c r="G26" s="13">
        <f>$E26*$C26</f>
        <v>13.5</v>
      </c>
      <c r="H26" s="13">
        <f aca="true" t="shared" si="3" ref="H26:O27">$E26*$C26</f>
        <v>13.5</v>
      </c>
      <c r="I26" s="13">
        <f t="shared" si="3"/>
        <v>13.5</v>
      </c>
      <c r="J26" s="13">
        <f t="shared" si="3"/>
        <v>13.5</v>
      </c>
      <c r="K26" s="13">
        <f t="shared" si="3"/>
        <v>13.5</v>
      </c>
      <c r="L26" s="13">
        <f t="shared" si="3"/>
        <v>13.5</v>
      </c>
      <c r="M26" s="13">
        <f t="shared" si="3"/>
        <v>13.5</v>
      </c>
      <c r="N26" s="13">
        <f t="shared" si="3"/>
        <v>13.5</v>
      </c>
      <c r="O26" s="13">
        <f t="shared" si="3"/>
        <v>13.5</v>
      </c>
      <c r="P26" s="11">
        <f aca="true" t="shared" si="4" ref="P26:P31">SUM(F26:O26)</f>
        <v>121.5</v>
      </c>
      <c r="Q26" s="12">
        <f aca="true" t="shared" si="5" ref="Q26:Q31">NPV(0.05,F26:O26)</f>
        <v>91.3862786868521</v>
      </c>
      <c r="R26" s="13">
        <f aca="true" t="shared" si="6" ref="R26:R31">Q26/($C$43/$C$44)</f>
        <v>11.834941179015555</v>
      </c>
    </row>
    <row r="27" spans="2:18" ht="15">
      <c r="B27" s="1" t="s">
        <v>42</v>
      </c>
      <c r="C27" s="1">
        <v>1</v>
      </c>
      <c r="D27" s="1" t="s">
        <v>34</v>
      </c>
      <c r="E27" s="19">
        <v>6</v>
      </c>
      <c r="F27" s="13">
        <v>0</v>
      </c>
      <c r="G27" s="13">
        <f>$E27*$C27</f>
        <v>6</v>
      </c>
      <c r="H27" s="13">
        <f t="shared" si="3"/>
        <v>6</v>
      </c>
      <c r="I27" s="13">
        <f t="shared" si="3"/>
        <v>6</v>
      </c>
      <c r="J27" s="13">
        <f t="shared" si="3"/>
        <v>6</v>
      </c>
      <c r="K27" s="13">
        <f t="shared" si="3"/>
        <v>6</v>
      </c>
      <c r="L27" s="13">
        <f t="shared" si="3"/>
        <v>6</v>
      </c>
      <c r="M27" s="13">
        <f t="shared" si="3"/>
        <v>6</v>
      </c>
      <c r="N27" s="13">
        <f t="shared" si="3"/>
        <v>6</v>
      </c>
      <c r="O27" s="13">
        <f t="shared" si="3"/>
        <v>6</v>
      </c>
      <c r="P27" s="11">
        <f t="shared" si="4"/>
        <v>54</v>
      </c>
      <c r="Q27" s="12">
        <f t="shared" si="5"/>
        <v>40.61612386082315</v>
      </c>
      <c r="R27" s="13">
        <f t="shared" si="6"/>
        <v>5.259973857340246</v>
      </c>
    </row>
    <row r="28" spans="2:18" ht="15">
      <c r="B28" s="1" t="s">
        <v>43</v>
      </c>
      <c r="C28" s="20">
        <f>C5*2000/1500</f>
        <v>5.333333333333333</v>
      </c>
      <c r="D28" s="1" t="s">
        <v>44</v>
      </c>
      <c r="E28" s="19">
        <v>8.35</v>
      </c>
      <c r="F28" s="13">
        <v>0</v>
      </c>
      <c r="G28" s="13">
        <f>$E28*G$5*2000/1500</f>
        <v>29.837333333333333</v>
      </c>
      <c r="H28" s="13">
        <f aca="true" t="shared" si="7" ref="H28:O29">$E28*H$5*2000/1500</f>
        <v>44.53333333333333</v>
      </c>
      <c r="I28" s="13">
        <f t="shared" si="7"/>
        <v>44.53333333333333</v>
      </c>
      <c r="J28" s="13">
        <f t="shared" si="7"/>
        <v>44.53333333333333</v>
      </c>
      <c r="K28" s="13">
        <f t="shared" si="7"/>
        <v>44.53333333333333</v>
      </c>
      <c r="L28" s="13">
        <f t="shared" si="7"/>
        <v>44.53333333333333</v>
      </c>
      <c r="M28" s="13">
        <f t="shared" si="7"/>
        <v>44.53333333333333</v>
      </c>
      <c r="N28" s="13">
        <f t="shared" si="7"/>
        <v>44.53333333333333</v>
      </c>
      <c r="O28" s="13">
        <f t="shared" si="7"/>
        <v>44.53333333333333</v>
      </c>
      <c r="P28" s="11">
        <f t="shared" si="4"/>
        <v>386.1039999999999</v>
      </c>
      <c r="Q28" s="12">
        <f t="shared" si="5"/>
        <v>288.1321918849123</v>
      </c>
      <c r="R28" s="13">
        <f t="shared" si="6"/>
        <v>37.314437043920975</v>
      </c>
    </row>
    <row r="29" spans="2:18" ht="15">
      <c r="B29" s="1" t="s">
        <v>45</v>
      </c>
      <c r="C29" s="20">
        <f>C5*2000/1500</f>
        <v>5.333333333333333</v>
      </c>
      <c r="D29" s="1" t="s">
        <v>44</v>
      </c>
      <c r="E29" s="19">
        <v>3.1</v>
      </c>
      <c r="F29" s="13">
        <v>0</v>
      </c>
      <c r="G29" s="13">
        <f>$E29*G$5*2000/1500</f>
        <v>11.077333333333335</v>
      </c>
      <c r="H29" s="13">
        <f t="shared" si="7"/>
        <v>16.533333333333335</v>
      </c>
      <c r="I29" s="13">
        <f t="shared" si="7"/>
        <v>16.533333333333335</v>
      </c>
      <c r="J29" s="13">
        <f t="shared" si="7"/>
        <v>16.533333333333335</v>
      </c>
      <c r="K29" s="13">
        <f t="shared" si="7"/>
        <v>16.533333333333335</v>
      </c>
      <c r="L29" s="13">
        <f t="shared" si="7"/>
        <v>16.533333333333335</v>
      </c>
      <c r="M29" s="13">
        <f t="shared" si="7"/>
        <v>16.533333333333335</v>
      </c>
      <c r="N29" s="13">
        <f t="shared" si="7"/>
        <v>16.533333333333335</v>
      </c>
      <c r="O29" s="13">
        <f t="shared" si="7"/>
        <v>16.533333333333335</v>
      </c>
      <c r="P29" s="11">
        <f t="shared" si="4"/>
        <v>143.344</v>
      </c>
      <c r="Q29" s="12">
        <f t="shared" si="5"/>
        <v>106.97123291535668</v>
      </c>
      <c r="R29" s="13">
        <f t="shared" si="6"/>
        <v>13.853264052234138</v>
      </c>
    </row>
    <row r="30" spans="2:18" ht="15">
      <c r="B30" s="1" t="s">
        <v>46</v>
      </c>
      <c r="C30" s="1">
        <v>4</v>
      </c>
      <c r="D30" s="1" t="s">
        <v>20</v>
      </c>
      <c r="E30" s="19">
        <v>3</v>
      </c>
      <c r="F30" s="13">
        <v>0</v>
      </c>
      <c r="G30" s="13">
        <f>$E30*G5</f>
        <v>8.040000000000001</v>
      </c>
      <c r="H30" s="13">
        <f>$E30*H5</f>
        <v>12</v>
      </c>
      <c r="I30" s="13">
        <f>$E30*I5</f>
        <v>12</v>
      </c>
      <c r="J30" s="13">
        <f>$E30*J5</f>
        <v>12</v>
      </c>
      <c r="K30" s="13">
        <f>$E30*K5</f>
        <v>12</v>
      </c>
      <c r="L30" s="13">
        <f>$E30*L5</f>
        <v>12</v>
      </c>
      <c r="M30" s="13">
        <f>$E30*M5</f>
        <v>12</v>
      </c>
      <c r="N30" s="13">
        <f>$E30*N5</f>
        <v>12</v>
      </c>
      <c r="O30" s="13">
        <f>$E30*O5</f>
        <v>12</v>
      </c>
      <c r="P30" s="11">
        <f t="shared" si="4"/>
        <v>104.03999999999999</v>
      </c>
      <c r="Q30" s="12">
        <f t="shared" si="5"/>
        <v>77.64041098695242</v>
      </c>
      <c r="R30" s="13">
        <f t="shared" si="6"/>
        <v>10.054788425008647</v>
      </c>
    </row>
    <row r="31" spans="2:18" ht="15">
      <c r="B31" s="1" t="s">
        <v>47</v>
      </c>
      <c r="C31" s="1">
        <v>4</v>
      </c>
      <c r="D31" s="1" t="s">
        <v>20</v>
      </c>
      <c r="E31" s="21">
        <v>0.035</v>
      </c>
      <c r="F31" s="13">
        <v>0</v>
      </c>
      <c r="G31" s="13">
        <f>$E31*G$6</f>
        <v>5.628000000000001</v>
      </c>
      <c r="H31" s="13">
        <f aca="true" t="shared" si="8" ref="H31:O31">$E31*H$6</f>
        <v>8.4</v>
      </c>
      <c r="I31" s="13">
        <f t="shared" si="8"/>
        <v>8.4</v>
      </c>
      <c r="J31" s="13">
        <f t="shared" si="8"/>
        <v>8.4</v>
      </c>
      <c r="K31" s="13">
        <f t="shared" si="8"/>
        <v>8.4</v>
      </c>
      <c r="L31" s="13">
        <f t="shared" si="8"/>
        <v>8.4</v>
      </c>
      <c r="M31" s="13">
        <f t="shared" si="8"/>
        <v>8.4</v>
      </c>
      <c r="N31" s="13">
        <f t="shared" si="8"/>
        <v>8.4</v>
      </c>
      <c r="O31" s="13">
        <f t="shared" si="8"/>
        <v>8.4</v>
      </c>
      <c r="P31" s="11">
        <f t="shared" si="4"/>
        <v>72.828</v>
      </c>
      <c r="Q31" s="12">
        <f t="shared" si="5"/>
        <v>54.348287690866705</v>
      </c>
      <c r="R31" s="13">
        <f t="shared" si="6"/>
        <v>7.038351897506055</v>
      </c>
    </row>
    <row r="32" spans="1:18" ht="15">
      <c r="A32" s="3"/>
      <c r="B32" s="3"/>
      <c r="C32" s="3"/>
      <c r="D32" s="3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</row>
    <row r="33" spans="1:18" ht="15">
      <c r="A33" s="22" t="s">
        <v>48</v>
      </c>
      <c r="B33" s="22"/>
      <c r="C33" s="22"/>
      <c r="D33" s="22"/>
      <c r="E33" s="23"/>
      <c r="F33" s="24">
        <f>SUM(F9:F31)</f>
        <v>170.99999999999997</v>
      </c>
      <c r="G33" s="24">
        <f aca="true" t="shared" si="9" ref="G33:O33">SUM(G9:G31)</f>
        <v>148.62800666666666</v>
      </c>
      <c r="H33" s="24">
        <f t="shared" si="9"/>
        <v>169.76866666666666</v>
      </c>
      <c r="I33" s="24">
        <f t="shared" si="9"/>
        <v>169.76866666666666</v>
      </c>
      <c r="J33" s="24">
        <f t="shared" si="9"/>
        <v>169.76866666666666</v>
      </c>
      <c r="K33" s="24">
        <f t="shared" si="9"/>
        <v>169.76866666666666</v>
      </c>
      <c r="L33" s="24">
        <f t="shared" si="9"/>
        <v>169.76866666666666</v>
      </c>
      <c r="M33" s="24">
        <f t="shared" si="9"/>
        <v>169.76866666666666</v>
      </c>
      <c r="N33" s="24">
        <f t="shared" si="9"/>
        <v>169.76866666666666</v>
      </c>
      <c r="O33" s="24">
        <f t="shared" si="9"/>
        <v>169.76866666666666</v>
      </c>
      <c r="P33" s="25">
        <f>SUM(F33:O33)</f>
        <v>1677.7773399999996</v>
      </c>
      <c r="Q33" s="25">
        <f>NPV(0.05,F33:O33)</f>
        <v>1292.9061398797724</v>
      </c>
      <c r="R33" s="24">
        <f>Q33/($C$43/$C$44)</f>
        <v>167.43726011535924</v>
      </c>
    </row>
    <row r="34" spans="1:18" ht="15">
      <c r="A34" s="1" t="s">
        <v>49</v>
      </c>
      <c r="E34" s="26"/>
      <c r="F34" s="13">
        <f>F6-F33</f>
        <v>-170.99999999999997</v>
      </c>
      <c r="G34" s="13">
        <f aca="true" t="shared" si="10" ref="G34:O34">G6-G33</f>
        <v>12.171993333333347</v>
      </c>
      <c r="H34" s="13">
        <f t="shared" si="10"/>
        <v>70.23133333333334</v>
      </c>
      <c r="I34" s="13">
        <f t="shared" si="10"/>
        <v>70.23133333333334</v>
      </c>
      <c r="J34" s="13">
        <f t="shared" si="10"/>
        <v>70.23133333333334</v>
      </c>
      <c r="K34" s="13">
        <f t="shared" si="10"/>
        <v>70.23133333333334</v>
      </c>
      <c r="L34" s="13">
        <f t="shared" si="10"/>
        <v>70.23133333333334</v>
      </c>
      <c r="M34" s="13">
        <f t="shared" si="10"/>
        <v>70.23133333333334</v>
      </c>
      <c r="N34" s="13">
        <f t="shared" si="10"/>
        <v>70.23133333333334</v>
      </c>
      <c r="O34" s="13">
        <f t="shared" si="10"/>
        <v>70.23133333333334</v>
      </c>
      <c r="P34" s="11">
        <f>SUM(F34:O34)</f>
        <v>403.0226600000001</v>
      </c>
      <c r="Q34" s="12">
        <f>NPV(0.05,F34:O34)</f>
        <v>259.902079859276</v>
      </c>
      <c r="R34" s="13">
        <f>Q34/($C$43/$C$44)</f>
        <v>33.65850838481372</v>
      </c>
    </row>
    <row r="35" spans="6:17" ht="15"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2"/>
      <c r="Q35" s="12"/>
    </row>
    <row r="36" spans="1:15" ht="17.25">
      <c r="A36" s="1" t="s">
        <v>50</v>
      </c>
      <c r="D36" s="1" t="s">
        <v>51</v>
      </c>
      <c r="F36" s="27">
        <v>0.44</v>
      </c>
      <c r="G36" s="27">
        <v>0.51</v>
      </c>
      <c r="H36" s="27">
        <v>3.83</v>
      </c>
      <c r="I36" s="27">
        <v>3.83</v>
      </c>
      <c r="J36" s="27">
        <v>3.83</v>
      </c>
      <c r="K36" s="27">
        <v>3.83</v>
      </c>
      <c r="L36" s="27">
        <v>3.83</v>
      </c>
      <c r="M36" s="27">
        <v>3.83</v>
      </c>
      <c r="N36" s="27">
        <v>3.83</v>
      </c>
      <c r="O36" s="27">
        <v>3.83</v>
      </c>
    </row>
    <row r="37" ht="15">
      <c r="F37" s="27"/>
    </row>
    <row r="38" spans="1:6" ht="15">
      <c r="A38" s="1" t="s">
        <v>52</v>
      </c>
      <c r="F38" s="27"/>
    </row>
    <row r="39" ht="15">
      <c r="F39" s="27"/>
    </row>
    <row r="40" ht="15">
      <c r="A40" s="1" t="s">
        <v>53</v>
      </c>
    </row>
    <row r="41" spans="2:3" ht="15">
      <c r="B41" s="1" t="s">
        <v>54</v>
      </c>
      <c r="C41" s="21">
        <v>0.05</v>
      </c>
    </row>
    <row r="42" spans="2:3" ht="15">
      <c r="B42" s="1" t="s">
        <v>55</v>
      </c>
      <c r="C42" s="1">
        <v>10</v>
      </c>
    </row>
    <row r="43" spans="2:11" ht="15">
      <c r="B43" s="1" t="s">
        <v>56</v>
      </c>
      <c r="C43" s="28">
        <f>((1+$C$41)^$C$42)-1</f>
        <v>0.6288946267774416</v>
      </c>
      <c r="K43" s="29" t="s">
        <v>57</v>
      </c>
    </row>
    <row r="44" spans="2:11" ht="15">
      <c r="B44" s="1" t="s">
        <v>58</v>
      </c>
      <c r="C44" s="30">
        <f>$C$41*((1+$C$41)^$C$42)</f>
        <v>0.08144473133887209</v>
      </c>
      <c r="K44" s="29" t="s">
        <v>59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Pennington</dc:creator>
  <cp:keywords/>
  <dc:description/>
  <cp:lastModifiedBy>Dennis Pennington</cp:lastModifiedBy>
  <dcterms:created xsi:type="dcterms:W3CDTF">2010-01-05T15:41:32Z</dcterms:created>
  <dcterms:modified xsi:type="dcterms:W3CDTF">2010-01-05T15:41:44Z</dcterms:modified>
  <cp:category/>
  <cp:version/>
  <cp:contentType/>
  <cp:contentStatus/>
</cp:coreProperties>
</file>