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9009" lockStructure="1"/>
  <bookViews>
    <workbookView xWindow="0" yWindow="108" windowWidth="11544" windowHeight="6000" tabRatio="825"/>
  </bookViews>
  <sheets>
    <sheet name="User Manual" sheetId="4" r:id="rId1"/>
    <sheet name="Beginning Version" sheetId="11" r:id="rId2"/>
    <sheet name="Advanced Version" sheetId="5" r:id="rId3"/>
    <sheet name="Beginning Ver. Blank InPut Form" sheetId="8" state="hidden" r:id="rId4"/>
    <sheet name="Advanced Ver. Blank Input Form" sheetId="12" state="hidden" r:id="rId5"/>
    <sheet name="Sheet1" sheetId="13" r:id="rId6"/>
  </sheets>
  <definedNames>
    <definedName name="id.10kb73la65a8" localSheetId="0">'User Manual'!$B$137</definedName>
    <definedName name="id.1ghrs1uxyopw" localSheetId="0">'User Manual'!$B$370</definedName>
    <definedName name="id.1yjn4nhml685" localSheetId="0">'User Manual'!$B$9</definedName>
    <definedName name="id.38rxceleq5sf" localSheetId="0">'User Manual'!$B$153</definedName>
    <definedName name="id.5kv17zag53nh" localSheetId="0">'User Manual'!$B$41</definedName>
    <definedName name="id.7zy8lvpuvnz7" localSheetId="0">'User Manual'!$B$143</definedName>
    <definedName name="id.8qcfsj2hldhb" localSheetId="0">'User Manual'!$B$469</definedName>
    <definedName name="id.9oozigi4mx1c" localSheetId="0">'User Manual'!$B$147</definedName>
    <definedName name="id.dg8ku228oirp" localSheetId="0">'User Manual'!$B$448</definedName>
    <definedName name="id.gjzfwqjhe1vl" localSheetId="0">'User Manual'!$B$325</definedName>
    <definedName name="id.ig0gsghzvvyc" localSheetId="0">'User Manual'!$B$123</definedName>
    <definedName name="id.j7io2as0u2gw" localSheetId="0">'User Manual'!$B$460</definedName>
    <definedName name="id.jq423x29qxmq" localSheetId="0">'User Manual'!$B$289</definedName>
    <definedName name="id.julmtp6zv6b6" localSheetId="0">'User Manual'!$B$437</definedName>
    <definedName name="id.ksmcnu7eb5wu" localSheetId="0">'User Manual'!$B$121</definedName>
    <definedName name="id.okb7dyh6160l" localSheetId="0">'User Manual'!$B$141</definedName>
    <definedName name="id.p8fpjgf38soc" localSheetId="0">'User Manual'!$B$357</definedName>
    <definedName name="id.s1bdcknqvv50" localSheetId="0">'User Manual'!$B$330</definedName>
    <definedName name="id.uyn7xqlargig" localSheetId="0">'User Manual'!$B$133</definedName>
    <definedName name="id.v6z2p3dmo5y7" localSheetId="0">'User Manual'!$B$224</definedName>
    <definedName name="id.vgyxl7bezk9s" localSheetId="0">'User Manual'!$B$474</definedName>
    <definedName name="id.w1q0h1d8nb5w" localSheetId="0">'User Manual'!$B$287</definedName>
    <definedName name="id.xlfd5ch6skei" localSheetId="0">'User Manual'!$B$312</definedName>
    <definedName name="kix.2ko78jwzdbwq" localSheetId="0">'User Manual'!$B$119</definedName>
    <definedName name="kix.rxso9wpcqrb1" localSheetId="0">'User Manual'!$B$71</definedName>
    <definedName name="_xlnm.Print_Area" localSheetId="4">'Advanced Ver. Blank Input Form'!$A$2:$X$189</definedName>
    <definedName name="_xlnm.Print_Area" localSheetId="2">'Advanced Version'!$A$2:$X$187</definedName>
    <definedName name="_xlnm.Print_Area" localSheetId="3">'Beginning Ver. Blank InPut Form'!$A$2:$X$106</definedName>
    <definedName name="_xlnm.Print_Area" localSheetId="1">'Beginning Version'!$A$2:$X$189</definedName>
    <definedName name="solver_eng" localSheetId="1" hidden="1">1</definedName>
    <definedName name="solver_eng" localSheetId="0" hidden="1">1</definedName>
    <definedName name="solver_neg" localSheetId="1" hidden="1">1</definedName>
    <definedName name="solver_neg" localSheetId="0" hidden="1">1</definedName>
    <definedName name="solver_num" localSheetId="1" hidden="1">0</definedName>
    <definedName name="solver_num" localSheetId="0" hidden="1">0</definedName>
    <definedName name="solver_opt" localSheetId="1" hidden="1">'Beginning Version'!$Z$176</definedName>
    <definedName name="solver_opt" localSheetId="0" hidden="1">'User Manual'!$B$6</definedName>
    <definedName name="solver_typ" localSheetId="1" hidden="1">1</definedName>
    <definedName name="solver_typ" localSheetId="0" hidden="1">1</definedName>
    <definedName name="solver_val" localSheetId="1" hidden="1">0</definedName>
    <definedName name="solver_val" localSheetId="0" hidden="1">0</definedName>
    <definedName name="solver_ver" localSheetId="1" hidden="1">3</definedName>
    <definedName name="solver_ver" localSheetId="0" hidden="1">3</definedName>
  </definedNames>
  <calcPr calcId="145621"/>
</workbook>
</file>

<file path=xl/calcChain.xml><?xml version="1.0" encoding="utf-8"?>
<calcChain xmlns="http://schemas.openxmlformats.org/spreadsheetml/2006/main">
  <c r="S62" i="5" l="1"/>
  <c r="R129" i="5" l="1"/>
  <c r="T129" i="5" s="1"/>
  <c r="V129" i="5" s="1"/>
  <c r="X129" i="5" s="1"/>
  <c r="W129" i="11"/>
  <c r="U129" i="11"/>
  <c r="S129" i="11"/>
  <c r="Q129" i="11"/>
  <c r="O129" i="11"/>
  <c r="T162" i="5" l="1"/>
  <c r="I21" i="5"/>
  <c r="I22" i="5"/>
  <c r="I28" i="5"/>
  <c r="I50" i="5"/>
  <c r="S184" i="12" l="1"/>
  <c r="W178" i="12"/>
  <c r="U178" i="12"/>
  <c r="S178" i="12"/>
  <c r="Q178" i="12"/>
  <c r="O178" i="12"/>
  <c r="K178" i="12"/>
  <c r="S185" i="8"/>
  <c r="T132" i="5" l="1"/>
  <c r="V132" i="5" s="1"/>
  <c r="X132" i="5" s="1"/>
  <c r="R132" i="5"/>
  <c r="T131" i="5"/>
  <c r="V131" i="5" s="1"/>
  <c r="X131" i="5" s="1"/>
  <c r="R131" i="5"/>
  <c r="R130" i="5"/>
  <c r="T130" i="5" s="1"/>
  <c r="V130" i="5" s="1"/>
  <c r="X130" i="5" s="1"/>
  <c r="R128" i="5"/>
  <c r="T128" i="5" s="1"/>
  <c r="V128" i="5" s="1"/>
  <c r="X128" i="5" s="1"/>
  <c r="T127" i="5"/>
  <c r="V127" i="5" s="1"/>
  <c r="X127" i="5" s="1"/>
  <c r="R127" i="5"/>
  <c r="T126" i="5"/>
  <c r="V126" i="5" s="1"/>
  <c r="X126" i="5" s="1"/>
  <c r="R126" i="5"/>
  <c r="R125" i="5"/>
  <c r="T125" i="5" s="1"/>
  <c r="V125" i="5" s="1"/>
  <c r="X125" i="5" s="1"/>
  <c r="R124" i="5"/>
  <c r="T124" i="5" s="1"/>
  <c r="V124" i="5" s="1"/>
  <c r="X124" i="5" s="1"/>
  <c r="R123" i="5"/>
  <c r="T123" i="5" s="1"/>
  <c r="V123" i="5" s="1"/>
  <c r="X123" i="5" s="1"/>
  <c r="R122" i="5"/>
  <c r="T122" i="5" s="1"/>
  <c r="V122" i="5" s="1"/>
  <c r="X122" i="5" s="1"/>
  <c r="R121" i="5"/>
  <c r="T121" i="5" s="1"/>
  <c r="V121" i="5" s="1"/>
  <c r="X121" i="5" s="1"/>
  <c r="R120" i="5"/>
  <c r="T120" i="5" s="1"/>
  <c r="V120" i="5" s="1"/>
  <c r="X120" i="5" s="1"/>
  <c r="R119" i="5"/>
  <c r="T119" i="5" s="1"/>
  <c r="V119" i="5" s="1"/>
  <c r="X119" i="5" s="1"/>
  <c r="R118" i="5"/>
  <c r="T118" i="5" s="1"/>
  <c r="V118" i="5" s="1"/>
  <c r="X118" i="5" s="1"/>
  <c r="R117" i="5"/>
  <c r="T117" i="5" s="1"/>
  <c r="V117" i="5" s="1"/>
  <c r="X117" i="5" s="1"/>
  <c r="R116" i="5"/>
  <c r="T116" i="5" s="1"/>
  <c r="V116" i="5" s="1"/>
  <c r="X116" i="5" s="1"/>
  <c r="T115" i="5"/>
  <c r="V115" i="5" s="1"/>
  <c r="X115" i="5" s="1"/>
  <c r="R115" i="5"/>
  <c r="T114" i="5"/>
  <c r="V114" i="5" s="1"/>
  <c r="X114" i="5" s="1"/>
  <c r="R114" i="5"/>
  <c r="R113" i="5"/>
  <c r="T113" i="5" s="1"/>
  <c r="V113" i="5" s="1"/>
  <c r="X113" i="5" s="1"/>
  <c r="R112" i="5"/>
  <c r="T112" i="5" s="1"/>
  <c r="V112" i="5" s="1"/>
  <c r="X112" i="5" s="1"/>
  <c r="R111" i="5"/>
  <c r="T111" i="5" s="1"/>
  <c r="V111" i="5" s="1"/>
  <c r="X111" i="5" s="1"/>
  <c r="R110" i="5"/>
  <c r="T110" i="5" s="1"/>
  <c r="V110" i="5" s="1"/>
  <c r="X110" i="5" s="1"/>
  <c r="R109" i="5"/>
  <c r="T109" i="5" s="1"/>
  <c r="V109" i="5" s="1"/>
  <c r="X109" i="5" s="1"/>
  <c r="R108" i="5"/>
  <c r="T108" i="5" s="1"/>
  <c r="V108" i="5" s="1"/>
  <c r="X108" i="5" s="1"/>
  <c r="T107" i="5"/>
  <c r="V107" i="5" s="1"/>
  <c r="X107" i="5" s="1"/>
  <c r="R107" i="5"/>
  <c r="O56" i="5"/>
  <c r="I22" i="11" l="1"/>
  <c r="L132" i="5"/>
  <c r="L131" i="5"/>
  <c r="L130" i="5"/>
  <c r="L128" i="5"/>
  <c r="L127" i="5"/>
  <c r="L126" i="5"/>
  <c r="L125" i="5"/>
  <c r="L124" i="5"/>
  <c r="L123" i="5"/>
  <c r="L122" i="5"/>
  <c r="L121" i="5"/>
  <c r="L120" i="5"/>
  <c r="L119" i="5"/>
  <c r="L118" i="5"/>
  <c r="L117" i="5"/>
  <c r="L116" i="5"/>
  <c r="L115" i="5"/>
  <c r="L114" i="5"/>
  <c r="L113" i="5"/>
  <c r="L112" i="5"/>
  <c r="L111" i="5"/>
  <c r="L110" i="5"/>
  <c r="L109" i="5"/>
  <c r="L108" i="5"/>
  <c r="L107" i="5"/>
  <c r="K132" i="5"/>
  <c r="K131" i="5"/>
  <c r="K130" i="5"/>
  <c r="K128" i="5"/>
  <c r="K127" i="5"/>
  <c r="K126" i="5"/>
  <c r="K125" i="5"/>
  <c r="K124" i="5"/>
  <c r="K123" i="5"/>
  <c r="K122" i="5"/>
  <c r="K121" i="5"/>
  <c r="K120" i="5"/>
  <c r="K119" i="5"/>
  <c r="K118" i="5"/>
  <c r="K117" i="5"/>
  <c r="K116" i="5"/>
  <c r="K114" i="5"/>
  <c r="K112" i="5"/>
  <c r="K111" i="5"/>
  <c r="K110" i="5"/>
  <c r="K109" i="5"/>
  <c r="K108" i="5"/>
  <c r="K107" i="5"/>
  <c r="R132" i="11" l="1"/>
  <c r="T132" i="11" s="1"/>
  <c r="V132" i="11" s="1"/>
  <c r="X132" i="11" s="1"/>
  <c r="R131" i="11"/>
  <c r="T131" i="11" s="1"/>
  <c r="V131" i="11" s="1"/>
  <c r="X131" i="11" s="1"/>
  <c r="R130" i="11"/>
  <c r="T130" i="11" s="1"/>
  <c r="V130" i="11" s="1"/>
  <c r="X130" i="11" s="1"/>
  <c r="R129" i="11"/>
  <c r="T129" i="11" s="1"/>
  <c r="V129" i="11" s="1"/>
  <c r="X129" i="11" s="1"/>
  <c r="R128" i="11"/>
  <c r="T128" i="11" s="1"/>
  <c r="V128" i="11" s="1"/>
  <c r="X128" i="11" s="1"/>
  <c r="R127" i="11"/>
  <c r="T127" i="11" s="1"/>
  <c r="V127" i="11" s="1"/>
  <c r="X127" i="11" s="1"/>
  <c r="R126" i="11"/>
  <c r="T126" i="11" s="1"/>
  <c r="V126" i="11" s="1"/>
  <c r="X126" i="11" s="1"/>
  <c r="R125" i="11"/>
  <c r="T125" i="11" s="1"/>
  <c r="V125" i="11" s="1"/>
  <c r="X125" i="11" s="1"/>
  <c r="R124" i="11"/>
  <c r="T124" i="11" s="1"/>
  <c r="V124" i="11" s="1"/>
  <c r="X124" i="11" s="1"/>
  <c r="R123" i="11"/>
  <c r="T123" i="11" s="1"/>
  <c r="V123" i="11" s="1"/>
  <c r="X123" i="11" s="1"/>
  <c r="R122" i="11"/>
  <c r="T122" i="11" s="1"/>
  <c r="V122" i="11" s="1"/>
  <c r="X122" i="11" s="1"/>
  <c r="R121" i="11"/>
  <c r="T121" i="11" s="1"/>
  <c r="V121" i="11" s="1"/>
  <c r="X121" i="11" s="1"/>
  <c r="R120" i="11"/>
  <c r="T120" i="11" s="1"/>
  <c r="V120" i="11" s="1"/>
  <c r="X120" i="11" s="1"/>
  <c r="R119" i="11"/>
  <c r="T119" i="11" s="1"/>
  <c r="V119" i="11" s="1"/>
  <c r="X119" i="11" s="1"/>
  <c r="R118" i="11"/>
  <c r="T118" i="11" s="1"/>
  <c r="V118" i="11" s="1"/>
  <c r="X118" i="11" s="1"/>
  <c r="R117" i="11"/>
  <c r="T117" i="11" s="1"/>
  <c r="V117" i="11" s="1"/>
  <c r="X117" i="11" s="1"/>
  <c r="R116" i="11"/>
  <c r="T116" i="11" s="1"/>
  <c r="V116" i="11" s="1"/>
  <c r="X116" i="11" s="1"/>
  <c r="R115" i="11"/>
  <c r="T115" i="11" s="1"/>
  <c r="V115" i="11" s="1"/>
  <c r="X115" i="11" s="1"/>
  <c r="R114" i="11"/>
  <c r="T114" i="11" s="1"/>
  <c r="V114" i="11" s="1"/>
  <c r="X114" i="11" s="1"/>
  <c r="R113" i="11"/>
  <c r="T113" i="11" s="1"/>
  <c r="V113" i="11" s="1"/>
  <c r="X113" i="11" s="1"/>
  <c r="R112" i="11"/>
  <c r="T112" i="11" s="1"/>
  <c r="V112" i="11" s="1"/>
  <c r="X112" i="11" s="1"/>
  <c r="R111" i="11"/>
  <c r="T111" i="11" s="1"/>
  <c r="V111" i="11" s="1"/>
  <c r="X111" i="11" s="1"/>
  <c r="R110" i="11"/>
  <c r="T110" i="11" s="1"/>
  <c r="V110" i="11" s="1"/>
  <c r="X110" i="11" s="1"/>
  <c r="R109" i="11"/>
  <c r="T109" i="11" s="1"/>
  <c r="V109" i="11" s="1"/>
  <c r="X109" i="11" s="1"/>
  <c r="R108" i="11"/>
  <c r="T108" i="11" s="1"/>
  <c r="V108" i="11" s="1"/>
  <c r="X108" i="11" s="1"/>
  <c r="R107" i="11"/>
  <c r="T107" i="11" s="1"/>
  <c r="V107" i="11" s="1"/>
  <c r="X107" i="11" s="1"/>
  <c r="J92" i="11"/>
  <c r="U170" i="5" l="1"/>
  <c r="K64" i="5"/>
  <c r="K66" i="5"/>
  <c r="K71" i="5"/>
  <c r="AH115" i="11" l="1"/>
  <c r="AH116" i="11"/>
  <c r="AH122" i="11"/>
  <c r="AH129" i="11"/>
  <c r="AH130" i="11"/>
  <c r="X162" i="11"/>
  <c r="I31" i="5" l="1"/>
  <c r="I30" i="5"/>
  <c r="I29" i="5"/>
  <c r="I23" i="5"/>
  <c r="I42" i="5"/>
  <c r="I46" i="5"/>
  <c r="AI46" i="5" s="1"/>
  <c r="I47" i="5"/>
  <c r="AI47" i="5" s="1"/>
  <c r="I48" i="5"/>
  <c r="AI48" i="5" s="1"/>
  <c r="I53" i="5"/>
  <c r="I49" i="5" l="1"/>
  <c r="J92" i="5"/>
  <c r="W84" i="5"/>
  <c r="U84" i="5"/>
  <c r="S84" i="5"/>
  <c r="Q84" i="5"/>
  <c r="O84" i="5"/>
  <c r="W64" i="5"/>
  <c r="O64" i="5"/>
  <c r="W56" i="5"/>
  <c r="U56" i="5"/>
  <c r="S56" i="5"/>
  <c r="Q56" i="5"/>
  <c r="I18" i="5"/>
  <c r="I17" i="5"/>
  <c r="I16" i="5"/>
  <c r="W170" i="11"/>
  <c r="S170" i="11"/>
  <c r="Q170" i="11"/>
  <c r="O170" i="11"/>
  <c r="K168" i="11"/>
  <c r="K178" i="11" s="1"/>
  <c r="W162" i="11"/>
  <c r="V162" i="11"/>
  <c r="U162" i="11" s="1"/>
  <c r="T162" i="11"/>
  <c r="S162" i="11" s="1"/>
  <c r="R162" i="11"/>
  <c r="Q162" i="11" s="1"/>
  <c r="O162" i="11"/>
  <c r="K162" i="11"/>
  <c r="W148" i="11"/>
  <c r="U148" i="11"/>
  <c r="S148" i="11"/>
  <c r="Q148" i="11"/>
  <c r="K147" i="11"/>
  <c r="AS130" i="11"/>
  <c r="AQ130" i="11"/>
  <c r="AO130" i="11"/>
  <c r="AM130" i="11"/>
  <c r="AK130" i="11"/>
  <c r="AS122" i="11"/>
  <c r="AO122" i="11"/>
  <c r="AM122" i="11"/>
  <c r="AK122" i="11"/>
  <c r="W105" i="11"/>
  <c r="U105" i="11"/>
  <c r="S105" i="11"/>
  <c r="Q105" i="11"/>
  <c r="O105" i="11"/>
  <c r="W104" i="11"/>
  <c r="U104" i="11"/>
  <c r="S104" i="11"/>
  <c r="S147" i="11" s="1"/>
  <c r="Q104" i="11"/>
  <c r="Q168" i="11" s="1"/>
  <c r="Q178" i="11" s="1"/>
  <c r="O104" i="11"/>
  <c r="K104" i="11"/>
  <c r="AJ101" i="11"/>
  <c r="AJ100" i="11"/>
  <c r="AJ99" i="11"/>
  <c r="AJ98" i="11"/>
  <c r="AJ97" i="11"/>
  <c r="G97" i="11"/>
  <c r="AJ96" i="11"/>
  <c r="G96" i="11"/>
  <c r="AJ95" i="11"/>
  <c r="AF95" i="11"/>
  <c r="G95" i="11"/>
  <c r="W94" i="11"/>
  <c r="U94" i="11"/>
  <c r="S94" i="11"/>
  <c r="Q94" i="11"/>
  <c r="O94" i="11"/>
  <c r="O66" i="11"/>
  <c r="O66" i="5" s="1"/>
  <c r="K65" i="5"/>
  <c r="Q64" i="11"/>
  <c r="S64" i="11" s="1"/>
  <c r="S64" i="5" s="1"/>
  <c r="K59" i="11"/>
  <c r="O59" i="11" s="1"/>
  <c r="K58" i="11"/>
  <c r="I53" i="11"/>
  <c r="AI48" i="11"/>
  <c r="AI47" i="11"/>
  <c r="AI46" i="11"/>
  <c r="AQ30" i="11"/>
  <c r="AO30" i="11"/>
  <c r="AM30" i="11"/>
  <c r="AK30" i="11"/>
  <c r="AI30" i="11"/>
  <c r="AQ29" i="11"/>
  <c r="AO29" i="11"/>
  <c r="AM29" i="11"/>
  <c r="AK29" i="11"/>
  <c r="AI29" i="11"/>
  <c r="AQ28" i="11"/>
  <c r="AO28" i="11"/>
  <c r="AM28" i="11"/>
  <c r="AK28" i="11"/>
  <c r="AI28" i="11"/>
  <c r="W170" i="12"/>
  <c r="K168" i="12"/>
  <c r="W162" i="12"/>
  <c r="U162" i="12"/>
  <c r="S162" i="12"/>
  <c r="Q162" i="12"/>
  <c r="O162" i="12"/>
  <c r="K162" i="12"/>
  <c r="W148" i="12"/>
  <c r="U148" i="12"/>
  <c r="S148" i="12"/>
  <c r="Q148" i="12"/>
  <c r="K147" i="12"/>
  <c r="AQ130" i="12"/>
  <c r="AO130" i="12"/>
  <c r="AS130" i="12"/>
  <c r="AM130" i="12"/>
  <c r="AH129" i="12"/>
  <c r="AH123" i="12"/>
  <c r="AH122" i="12"/>
  <c r="AS122" i="12"/>
  <c r="AO122" i="12"/>
  <c r="AM122" i="12"/>
  <c r="AK122" i="12"/>
  <c r="AH117" i="12"/>
  <c r="AH116" i="12"/>
  <c r="W105" i="12"/>
  <c r="U105" i="12"/>
  <c r="S105" i="12"/>
  <c r="Q105" i="12"/>
  <c r="O105" i="12"/>
  <c r="W104" i="12"/>
  <c r="U104" i="12"/>
  <c r="S104" i="12"/>
  <c r="S147" i="12" s="1"/>
  <c r="Q104" i="12"/>
  <c r="Q168" i="12" s="1"/>
  <c r="O104" i="12"/>
  <c r="O168" i="12" s="1"/>
  <c r="K104" i="12"/>
  <c r="AJ101" i="12"/>
  <c r="AJ100" i="12"/>
  <c r="AJ99" i="12"/>
  <c r="AJ98" i="12"/>
  <c r="AJ97" i="12"/>
  <c r="AF97" i="12"/>
  <c r="G97" i="12"/>
  <c r="AJ96" i="12"/>
  <c r="AF96" i="12"/>
  <c r="G96" i="12"/>
  <c r="AJ95" i="12"/>
  <c r="AF95" i="12"/>
  <c r="G95" i="12"/>
  <c r="W94" i="12"/>
  <c r="U94" i="12"/>
  <c r="S94" i="12"/>
  <c r="Q94" i="12"/>
  <c r="O94" i="12"/>
  <c r="J92" i="12"/>
  <c r="AB66" i="12"/>
  <c r="AA66" i="12"/>
  <c r="AE97" i="12" s="1"/>
  <c r="AB65" i="12"/>
  <c r="AA65" i="12"/>
  <c r="AE96" i="12" s="1"/>
  <c r="AB64" i="12"/>
  <c r="AA64" i="12"/>
  <c r="AE95" i="12" s="1"/>
  <c r="E99" i="12" s="1"/>
  <c r="K61" i="12"/>
  <c r="S61" i="12" s="1"/>
  <c r="S58" i="12" s="1"/>
  <c r="AM21" i="12" s="1"/>
  <c r="K59" i="12"/>
  <c r="K58" i="12"/>
  <c r="K155" i="12" s="1"/>
  <c r="I53" i="12"/>
  <c r="K48" i="12"/>
  <c r="K47" i="12"/>
  <c r="K46" i="12"/>
  <c r="I49" i="12" s="1"/>
  <c r="AQ31" i="12"/>
  <c r="AO31" i="12"/>
  <c r="AM31" i="12"/>
  <c r="AK31" i="12"/>
  <c r="AI31" i="12"/>
  <c r="AQ30" i="12"/>
  <c r="AO30" i="12"/>
  <c r="AM30" i="12"/>
  <c r="AK30" i="12"/>
  <c r="AI30" i="12"/>
  <c r="AQ29" i="12"/>
  <c r="AO29" i="12"/>
  <c r="AM29" i="12"/>
  <c r="AK29" i="12"/>
  <c r="AI29" i="12"/>
  <c r="AQ28" i="12"/>
  <c r="AO28" i="12"/>
  <c r="AM28" i="12"/>
  <c r="AK28" i="12"/>
  <c r="AI28" i="12"/>
  <c r="I26" i="12"/>
  <c r="I25" i="12" s="1"/>
  <c r="I37" i="12" s="1"/>
  <c r="K96" i="12" s="1"/>
  <c r="AQ24" i="12"/>
  <c r="AO24" i="12"/>
  <c r="AM24" i="12"/>
  <c r="AK24" i="12"/>
  <c r="AI24" i="12"/>
  <c r="I24" i="12"/>
  <c r="I27" i="12" s="1"/>
  <c r="M64" i="12" l="1"/>
  <c r="W61" i="12"/>
  <c r="AQ22" i="12" s="1"/>
  <c r="K62" i="12"/>
  <c r="K61" i="11"/>
  <c r="Q61" i="11" s="1"/>
  <c r="AK22" i="11" s="1"/>
  <c r="K161" i="11"/>
  <c r="U161" i="11" s="1"/>
  <c r="K150" i="11"/>
  <c r="K68" i="12"/>
  <c r="Q61" i="12"/>
  <c r="U61" i="12"/>
  <c r="M66" i="12"/>
  <c r="O61" i="12"/>
  <c r="S168" i="12"/>
  <c r="U64" i="11"/>
  <c r="U64" i="5" s="1"/>
  <c r="Q64" i="5"/>
  <c r="U59" i="11"/>
  <c r="AI31" i="11"/>
  <c r="Q59" i="11"/>
  <c r="Q59" i="5" s="1"/>
  <c r="O59" i="5"/>
  <c r="O65" i="11"/>
  <c r="O65" i="5" s="1"/>
  <c r="K157" i="11"/>
  <c r="U157" i="11" s="1"/>
  <c r="I24" i="11"/>
  <c r="I27" i="11" s="1"/>
  <c r="I38" i="11" s="1"/>
  <c r="I49" i="11"/>
  <c r="Q147" i="11"/>
  <c r="S168" i="11"/>
  <c r="S178" i="11" s="1"/>
  <c r="Q66" i="11"/>
  <c r="Q66" i="5" s="1"/>
  <c r="O168" i="11"/>
  <c r="O178" i="11" s="1"/>
  <c r="O147" i="11"/>
  <c r="K164" i="11"/>
  <c r="K158" i="11"/>
  <c r="K154" i="11"/>
  <c r="K160" i="11"/>
  <c r="K156" i="11"/>
  <c r="K152" i="11"/>
  <c r="K163" i="11"/>
  <c r="K159" i="11"/>
  <c r="K151" i="11"/>
  <c r="K155" i="11"/>
  <c r="K149" i="11"/>
  <c r="O61" i="11"/>
  <c r="U147" i="11"/>
  <c r="U168" i="11"/>
  <c r="U178" i="11" s="1"/>
  <c r="W168" i="11"/>
  <c r="W178" i="11" s="1"/>
  <c r="W147" i="11"/>
  <c r="K153" i="11"/>
  <c r="U61" i="11"/>
  <c r="W61" i="11"/>
  <c r="I26" i="11"/>
  <c r="I25" i="11" s="1"/>
  <c r="I37" i="11" s="1"/>
  <c r="K68" i="11" s="1"/>
  <c r="S63" i="12"/>
  <c r="AM23" i="12" s="1"/>
  <c r="AM27" i="12" s="1"/>
  <c r="AM38" i="12" s="1"/>
  <c r="Q63" i="12"/>
  <c r="AK23" i="12" s="1"/>
  <c r="AK27" i="12" s="1"/>
  <c r="O63" i="12"/>
  <c r="AI23" i="12" s="1"/>
  <c r="I32" i="12"/>
  <c r="I38" i="12"/>
  <c r="W63" i="12"/>
  <c r="AQ23" i="12" s="1"/>
  <c r="AQ27" i="12" s="1"/>
  <c r="U63" i="12"/>
  <c r="AO23" i="12" s="1"/>
  <c r="AO27" i="12" s="1"/>
  <c r="AO32" i="12" s="1"/>
  <c r="U169" i="12" s="1"/>
  <c r="U171" i="12" s="1"/>
  <c r="U173" i="12" s="1"/>
  <c r="I34" i="12"/>
  <c r="K63" i="12"/>
  <c r="AI27" i="12"/>
  <c r="AI32" i="12" s="1"/>
  <c r="AI33" i="12" s="1"/>
  <c r="W58" i="12"/>
  <c r="AQ21" i="12" s="1"/>
  <c r="W102" i="12"/>
  <c r="W168" i="12"/>
  <c r="W147" i="12"/>
  <c r="AM22" i="12"/>
  <c r="AM26" i="12" s="1"/>
  <c r="AM25" i="12" s="1"/>
  <c r="AM37" i="12" s="1"/>
  <c r="K160" i="12"/>
  <c r="K156" i="12"/>
  <c r="K152" i="12"/>
  <c r="K163" i="12"/>
  <c r="K161" i="12"/>
  <c r="K157" i="12"/>
  <c r="K153" i="12"/>
  <c r="K149" i="12"/>
  <c r="K154" i="12"/>
  <c r="K159" i="12"/>
  <c r="K151" i="12"/>
  <c r="K158" i="12"/>
  <c r="K150" i="12"/>
  <c r="U102" i="12"/>
  <c r="U58" i="12"/>
  <c r="AO21" i="12" s="1"/>
  <c r="U147" i="12"/>
  <c r="U168" i="12"/>
  <c r="AO22" i="12"/>
  <c r="S102" i="12"/>
  <c r="AH127" i="12"/>
  <c r="AH120" i="12"/>
  <c r="K164" i="12"/>
  <c r="AH130" i="12"/>
  <c r="AK130" i="12"/>
  <c r="M65" i="12"/>
  <c r="O169" i="12"/>
  <c r="O171" i="12" s="1"/>
  <c r="O173" i="12" s="1"/>
  <c r="O147" i="12"/>
  <c r="Q147" i="12"/>
  <c r="I26" i="8"/>
  <c r="I25" i="8" s="1"/>
  <c r="I37" i="8" s="1"/>
  <c r="W170" i="8"/>
  <c r="S170" i="8"/>
  <c r="Q170" i="8"/>
  <c r="O170" i="8"/>
  <c r="K168" i="8"/>
  <c r="K178" i="8" s="1"/>
  <c r="X162" i="8"/>
  <c r="W162" i="8" s="1"/>
  <c r="V162" i="8"/>
  <c r="U162" i="8" s="1"/>
  <c r="T162" i="8"/>
  <c r="S162" i="8" s="1"/>
  <c r="R162" i="8"/>
  <c r="Q162" i="8" s="1"/>
  <c r="O162" i="8"/>
  <c r="K162" i="8"/>
  <c r="W148" i="8"/>
  <c r="U148" i="8"/>
  <c r="S148" i="8"/>
  <c r="Q148" i="8"/>
  <c r="K147" i="8"/>
  <c r="X132" i="8"/>
  <c r="V132" i="8"/>
  <c r="T132" i="8"/>
  <c r="R132" i="8"/>
  <c r="P132" i="8"/>
  <c r="X131" i="8"/>
  <c r="V131" i="8"/>
  <c r="T131" i="8"/>
  <c r="R131" i="8"/>
  <c r="P131" i="8"/>
  <c r="X130" i="8"/>
  <c r="AS130" i="8" s="1"/>
  <c r="V130" i="8"/>
  <c r="AQ130" i="8" s="1"/>
  <c r="T130" i="8"/>
  <c r="AO130" i="8" s="1"/>
  <c r="R130" i="8"/>
  <c r="AM130" i="8" s="1"/>
  <c r="P130" i="8"/>
  <c r="AH129" i="8"/>
  <c r="X129" i="8"/>
  <c r="V129" i="8"/>
  <c r="T129" i="8"/>
  <c r="R129" i="8"/>
  <c r="P129" i="8"/>
  <c r="X128" i="8"/>
  <c r="V128" i="8"/>
  <c r="T128" i="8"/>
  <c r="R128" i="8"/>
  <c r="P128" i="8"/>
  <c r="X127" i="8"/>
  <c r="V127" i="8"/>
  <c r="T127" i="8"/>
  <c r="R127" i="8"/>
  <c r="P127" i="8"/>
  <c r="X126" i="8"/>
  <c r="V126" i="8"/>
  <c r="T126" i="8"/>
  <c r="R126" i="8"/>
  <c r="P126" i="8"/>
  <c r="X125" i="8"/>
  <c r="V125" i="8"/>
  <c r="T125" i="8"/>
  <c r="R125" i="8"/>
  <c r="P125" i="8"/>
  <c r="X124" i="8"/>
  <c r="V124" i="8"/>
  <c r="T124" i="8"/>
  <c r="R124" i="8"/>
  <c r="P124" i="8"/>
  <c r="AH123" i="8"/>
  <c r="X123" i="8"/>
  <c r="V123" i="8"/>
  <c r="T123" i="8"/>
  <c r="R123" i="8"/>
  <c r="P123" i="8"/>
  <c r="M123" i="8"/>
  <c r="AH122" i="8"/>
  <c r="X122" i="8"/>
  <c r="AS122" i="8" s="1"/>
  <c r="V122" i="8"/>
  <c r="T122" i="8"/>
  <c r="AO122" i="8" s="1"/>
  <c r="R122" i="8"/>
  <c r="AM122" i="8" s="1"/>
  <c r="P122" i="8"/>
  <c r="AK122" i="8" s="1"/>
  <c r="X121" i="8"/>
  <c r="V121" i="8"/>
  <c r="T121" i="8"/>
  <c r="R121" i="8"/>
  <c r="P121" i="8"/>
  <c r="X120" i="8"/>
  <c r="V120" i="8"/>
  <c r="T120" i="8"/>
  <c r="R120" i="8"/>
  <c r="P120" i="8"/>
  <c r="X119" i="8"/>
  <c r="V119" i="8"/>
  <c r="T119" i="8"/>
  <c r="R119" i="8"/>
  <c r="P119" i="8"/>
  <c r="X118" i="8"/>
  <c r="V118" i="8"/>
  <c r="T118" i="8"/>
  <c r="R118" i="8"/>
  <c r="P118" i="8"/>
  <c r="AH117" i="8"/>
  <c r="X117" i="8"/>
  <c r="V117" i="8"/>
  <c r="T117" i="8"/>
  <c r="R117" i="8"/>
  <c r="P117" i="8"/>
  <c r="AH116" i="8"/>
  <c r="X116" i="8"/>
  <c r="V116" i="8"/>
  <c r="T116" i="8"/>
  <c r="R116" i="8"/>
  <c r="P116" i="8"/>
  <c r="X115" i="8"/>
  <c r="V115" i="8"/>
  <c r="T115" i="8"/>
  <c r="R115" i="8"/>
  <c r="P115" i="8"/>
  <c r="X114" i="8"/>
  <c r="V114" i="8"/>
  <c r="T114" i="8"/>
  <c r="R114" i="8"/>
  <c r="P114" i="8"/>
  <c r="X113" i="8"/>
  <c r="V113" i="8"/>
  <c r="T113" i="8"/>
  <c r="R113" i="8"/>
  <c r="P113" i="8"/>
  <c r="X112" i="8"/>
  <c r="V112" i="8"/>
  <c r="T112" i="8"/>
  <c r="R112" i="8"/>
  <c r="P112" i="8"/>
  <c r="X111" i="8"/>
  <c r="V111" i="8"/>
  <c r="T111" i="8"/>
  <c r="R111" i="8"/>
  <c r="P111" i="8"/>
  <c r="X110" i="8"/>
  <c r="V110" i="8"/>
  <c r="T110" i="8"/>
  <c r="R110" i="8"/>
  <c r="P110" i="8"/>
  <c r="X109" i="8"/>
  <c r="V109" i="8"/>
  <c r="T109" i="8"/>
  <c r="R109" i="8"/>
  <c r="P109" i="8"/>
  <c r="X108" i="8"/>
  <c r="V108" i="8"/>
  <c r="T108" i="8"/>
  <c r="R108" i="8"/>
  <c r="P108" i="8"/>
  <c r="X107" i="8"/>
  <c r="V107" i="8"/>
  <c r="T107" i="8"/>
  <c r="R107" i="8"/>
  <c r="P107" i="8"/>
  <c r="W105" i="8"/>
  <c r="U105" i="8"/>
  <c r="S105" i="8"/>
  <c r="Q105" i="8"/>
  <c r="O105" i="8"/>
  <c r="W104" i="8"/>
  <c r="W168" i="8" s="1"/>
  <c r="W178" i="8" s="1"/>
  <c r="U104" i="8"/>
  <c r="S104" i="8"/>
  <c r="S147" i="8" s="1"/>
  <c r="Q104" i="8"/>
  <c r="O104" i="8"/>
  <c r="O147" i="8" s="1"/>
  <c r="K104" i="8"/>
  <c r="AJ101" i="8"/>
  <c r="AJ100" i="8"/>
  <c r="AJ99" i="8"/>
  <c r="AJ98" i="8"/>
  <c r="AJ97" i="8"/>
  <c r="AF97" i="8"/>
  <c r="G97" i="8"/>
  <c r="AJ96" i="8"/>
  <c r="AF96" i="8"/>
  <c r="G96" i="8"/>
  <c r="AJ95" i="8"/>
  <c r="AF95" i="8"/>
  <c r="G95" i="8"/>
  <c r="W94" i="8"/>
  <c r="U94" i="8"/>
  <c r="S94" i="8"/>
  <c r="Q94" i="8"/>
  <c r="O94" i="8"/>
  <c r="J92" i="8"/>
  <c r="K59" i="8"/>
  <c r="K58" i="8"/>
  <c r="I53" i="8"/>
  <c r="K48" i="8"/>
  <c r="K47" i="8"/>
  <c r="K46" i="8"/>
  <c r="AQ30" i="8"/>
  <c r="AO30" i="8"/>
  <c r="AM30" i="8"/>
  <c r="AK30" i="8"/>
  <c r="AI30" i="8"/>
  <c r="AQ29" i="8"/>
  <c r="AO29" i="8"/>
  <c r="AM29" i="8"/>
  <c r="AK29" i="8"/>
  <c r="AI29" i="8"/>
  <c r="AQ28" i="8"/>
  <c r="AO28" i="8"/>
  <c r="AM28" i="8"/>
  <c r="AK28" i="8"/>
  <c r="AI28" i="8"/>
  <c r="S168" i="8" l="1"/>
  <c r="S178" i="8" s="1"/>
  <c r="Q102" i="11"/>
  <c r="O161" i="11"/>
  <c r="S61" i="11"/>
  <c r="S102" i="11" s="1"/>
  <c r="S161" i="11"/>
  <c r="K62" i="11"/>
  <c r="O62" i="5" s="1"/>
  <c r="Q161" i="11"/>
  <c r="AA64" i="11"/>
  <c r="M64" i="11" s="1"/>
  <c r="W161" i="11"/>
  <c r="I24" i="5"/>
  <c r="I27" i="5" s="1"/>
  <c r="I26" i="5"/>
  <c r="I25" i="5" s="1"/>
  <c r="I37" i="5" s="1"/>
  <c r="AB64" i="11"/>
  <c r="AO26" i="12"/>
  <c r="AO25" i="12" s="1"/>
  <c r="AO37" i="12" s="1"/>
  <c r="AK22" i="12"/>
  <c r="AK26" i="12" s="1"/>
  <c r="AK25" i="12" s="1"/>
  <c r="AK37" i="12" s="1"/>
  <c r="Q68" i="12" s="1"/>
  <c r="Q58" i="12"/>
  <c r="AK21" i="12" s="1"/>
  <c r="AK34" i="12" s="1"/>
  <c r="Q102" i="12"/>
  <c r="O102" i="12"/>
  <c r="O58" i="12"/>
  <c r="AI21" i="12" s="1"/>
  <c r="AI35" i="12" s="1"/>
  <c r="AI22" i="12"/>
  <c r="AI26" i="12" s="1"/>
  <c r="AI25" i="12" s="1"/>
  <c r="AI37" i="12" s="1"/>
  <c r="AK96" i="12" s="1"/>
  <c r="O168" i="8"/>
  <c r="O178" i="8" s="1"/>
  <c r="W147" i="8"/>
  <c r="AK31" i="11"/>
  <c r="I32" i="11"/>
  <c r="K169" i="11" s="1"/>
  <c r="K171" i="11" s="1"/>
  <c r="K173" i="11" s="1"/>
  <c r="S157" i="11"/>
  <c r="O157" i="11"/>
  <c r="Q157" i="11"/>
  <c r="W157" i="11"/>
  <c r="Q65" i="11"/>
  <c r="Q65" i="5" s="1"/>
  <c r="I34" i="11"/>
  <c r="I36" i="11" s="1"/>
  <c r="K67" i="11" s="1"/>
  <c r="S59" i="11"/>
  <c r="AO31" i="11"/>
  <c r="W59" i="11"/>
  <c r="U59" i="5"/>
  <c r="U156" i="11"/>
  <c r="S156" i="11"/>
  <c r="W156" i="11"/>
  <c r="Q156" i="11"/>
  <c r="O156" i="11"/>
  <c r="W149" i="11"/>
  <c r="Q149" i="11"/>
  <c r="O149" i="11"/>
  <c r="K165" i="11"/>
  <c r="U149" i="11"/>
  <c r="S149" i="11"/>
  <c r="U150" i="11"/>
  <c r="S150" i="11"/>
  <c r="W150" i="11"/>
  <c r="O150" i="11"/>
  <c r="Q150" i="11"/>
  <c r="U154" i="11"/>
  <c r="S154" i="11"/>
  <c r="O154" i="11"/>
  <c r="W154" i="11"/>
  <c r="Q154" i="11"/>
  <c r="Q151" i="11"/>
  <c r="O151" i="11"/>
  <c r="W151" i="11"/>
  <c r="S151" i="11"/>
  <c r="U151" i="11"/>
  <c r="U158" i="11"/>
  <c r="S158" i="11"/>
  <c r="W158" i="11"/>
  <c r="O158" i="11"/>
  <c r="Q158" i="11"/>
  <c r="W163" i="11"/>
  <c r="Q163" i="11"/>
  <c r="O163" i="11"/>
  <c r="U163" i="11"/>
  <c r="S163" i="11"/>
  <c r="W153" i="11"/>
  <c r="Q153" i="11"/>
  <c r="O153" i="11"/>
  <c r="S153" i="11"/>
  <c r="U153" i="11"/>
  <c r="U160" i="11"/>
  <c r="S160" i="11"/>
  <c r="W160" i="11"/>
  <c r="Q160" i="11"/>
  <c r="O160" i="11"/>
  <c r="W102" i="11"/>
  <c r="AQ22" i="11"/>
  <c r="Q155" i="11"/>
  <c r="O155" i="11"/>
  <c r="W155" i="11"/>
  <c r="S155" i="11"/>
  <c r="U155" i="11"/>
  <c r="K96" i="11"/>
  <c r="K97" i="11"/>
  <c r="K69" i="11"/>
  <c r="Q159" i="11"/>
  <c r="O159" i="11"/>
  <c r="W159" i="11"/>
  <c r="S159" i="11"/>
  <c r="U159" i="11"/>
  <c r="U164" i="11"/>
  <c r="S164" i="11"/>
  <c r="Q164" i="11"/>
  <c r="O164" i="11"/>
  <c r="W164" i="11"/>
  <c r="S66" i="11"/>
  <c r="S66" i="5" s="1"/>
  <c r="O102" i="11"/>
  <c r="AI22" i="11"/>
  <c r="U102" i="11"/>
  <c r="AO22" i="11"/>
  <c r="U152" i="11"/>
  <c r="S152" i="11"/>
  <c r="W152" i="11"/>
  <c r="O152" i="11"/>
  <c r="Q152" i="11"/>
  <c r="O174" i="12"/>
  <c r="U174" i="12"/>
  <c r="S97" i="12"/>
  <c r="S69" i="12"/>
  <c r="AO97" i="12"/>
  <c r="AQ96" i="12"/>
  <c r="U96" i="12"/>
  <c r="U68" i="12"/>
  <c r="AO33" i="12"/>
  <c r="AO35" i="12" s="1"/>
  <c r="AK32" i="12"/>
  <c r="AQ38" i="12"/>
  <c r="AQ34" i="12"/>
  <c r="AQ32" i="12"/>
  <c r="Q165" i="12"/>
  <c r="O165" i="12"/>
  <c r="K165" i="12"/>
  <c r="U165" i="12"/>
  <c r="S165" i="12"/>
  <c r="W165" i="12"/>
  <c r="AO38" i="12"/>
  <c r="K69" i="12"/>
  <c r="K97" i="12"/>
  <c r="AO34" i="12"/>
  <c r="O96" i="12"/>
  <c r="O68" i="12"/>
  <c r="I36" i="12"/>
  <c r="I39" i="12" s="1"/>
  <c r="K73" i="12" s="1"/>
  <c r="K136" i="12" s="1"/>
  <c r="AH136" i="12" s="1"/>
  <c r="Q96" i="12"/>
  <c r="K169" i="12"/>
  <c r="K171" i="12" s="1"/>
  <c r="K173" i="12" s="1"/>
  <c r="I33" i="12"/>
  <c r="I35" i="12" s="1"/>
  <c r="AO96" i="12"/>
  <c r="S96" i="12"/>
  <c r="S68" i="12"/>
  <c r="AQ26" i="12"/>
  <c r="AQ25" i="12" s="1"/>
  <c r="AQ37" i="12" s="1"/>
  <c r="AM34" i="12"/>
  <c r="AM32" i="12"/>
  <c r="K96" i="8"/>
  <c r="K68" i="8"/>
  <c r="K130" i="8"/>
  <c r="AH130" i="8" s="1"/>
  <c r="AK130" i="8"/>
  <c r="K61" i="8"/>
  <c r="I24" i="8"/>
  <c r="I27" i="8" s="1"/>
  <c r="I49" i="8"/>
  <c r="AI31" i="8"/>
  <c r="U168" i="8"/>
  <c r="U178" i="8" s="1"/>
  <c r="U147" i="8"/>
  <c r="Q168" i="8"/>
  <c r="Q178" i="8" s="1"/>
  <c r="Q147" i="8"/>
  <c r="K164" i="8"/>
  <c r="K158" i="8"/>
  <c r="K154" i="8"/>
  <c r="K159" i="8"/>
  <c r="K155" i="8"/>
  <c r="K151" i="8"/>
  <c r="K160" i="8"/>
  <c r="K156" i="8"/>
  <c r="K152" i="8"/>
  <c r="K163" i="8"/>
  <c r="K161" i="8"/>
  <c r="K157" i="8"/>
  <c r="K153" i="8"/>
  <c r="K149" i="8"/>
  <c r="K150" i="8"/>
  <c r="AM96" i="12" l="1"/>
  <c r="AM22" i="11"/>
  <c r="O63" i="11"/>
  <c r="AI23" i="11" s="1"/>
  <c r="AE95" i="11"/>
  <c r="AI24" i="11"/>
  <c r="Q62" i="11"/>
  <c r="Q62" i="5" s="1"/>
  <c r="K63" i="11"/>
  <c r="O58" i="11"/>
  <c r="AI21" i="11" s="1"/>
  <c r="I33" i="11"/>
  <c r="I35" i="11" s="1"/>
  <c r="I38" i="5"/>
  <c r="I32" i="5"/>
  <c r="I33" i="5" s="1"/>
  <c r="I35" i="5" s="1"/>
  <c r="I34" i="5"/>
  <c r="AH123" i="11"/>
  <c r="AH124" i="11"/>
  <c r="AI38" i="12"/>
  <c r="AI34" i="12"/>
  <c r="AI36" i="12" s="1"/>
  <c r="AI39" i="12" s="1"/>
  <c r="O73" i="12" s="1"/>
  <c r="AK38" i="12"/>
  <c r="Q69" i="12" s="1"/>
  <c r="I39" i="11"/>
  <c r="K73" i="11" s="1"/>
  <c r="K74" i="11"/>
  <c r="K175" i="11" s="1"/>
  <c r="K176" i="11" s="1"/>
  <c r="AM31" i="11"/>
  <c r="S59" i="5"/>
  <c r="AM31" i="5" s="1"/>
  <c r="AI26" i="11"/>
  <c r="AI25" i="11" s="1"/>
  <c r="AI37" i="11" s="1"/>
  <c r="O68" i="11" s="1"/>
  <c r="S65" i="11"/>
  <c r="S65" i="5" s="1"/>
  <c r="AQ31" i="11"/>
  <c r="W59" i="5"/>
  <c r="AQ31" i="5" s="1"/>
  <c r="K174" i="11"/>
  <c r="S165" i="11"/>
  <c r="U165" i="11"/>
  <c r="U66" i="11"/>
  <c r="U66" i="5" s="1"/>
  <c r="AH128" i="11"/>
  <c r="AH121" i="11"/>
  <c r="O165" i="11"/>
  <c r="Q165" i="11"/>
  <c r="W165" i="11"/>
  <c r="AH120" i="11"/>
  <c r="AH127" i="11"/>
  <c r="K95" i="11"/>
  <c r="K70" i="11"/>
  <c r="K60" i="11"/>
  <c r="AM36" i="12"/>
  <c r="AM39" i="12" s="1"/>
  <c r="S73" i="12" s="1"/>
  <c r="AK127" i="12"/>
  <c r="AK120" i="12"/>
  <c r="AK124" i="12"/>
  <c r="AK123" i="12"/>
  <c r="AQ33" i="12"/>
  <c r="AQ35" i="12" s="1"/>
  <c r="W169" i="12"/>
  <c r="W171" i="12" s="1"/>
  <c r="W173" i="12" s="1"/>
  <c r="K174" i="12"/>
  <c r="AS97" i="12"/>
  <c r="W97" i="12"/>
  <c r="W69" i="12"/>
  <c r="AO121" i="12"/>
  <c r="AO128" i="12"/>
  <c r="K60" i="12"/>
  <c r="K95" i="12"/>
  <c r="K67" i="12"/>
  <c r="K70" i="12" s="1"/>
  <c r="AS96" i="12"/>
  <c r="W96" i="12"/>
  <c r="W68" i="12"/>
  <c r="AQ97" i="12"/>
  <c r="U97" i="12"/>
  <c r="U69" i="12"/>
  <c r="O97" i="12"/>
  <c r="AK97" i="12"/>
  <c r="O69" i="12"/>
  <c r="AM120" i="12"/>
  <c r="AM124" i="12"/>
  <c r="AM127" i="12"/>
  <c r="AM123" i="12"/>
  <c r="AO36" i="12"/>
  <c r="AO39" i="12" s="1"/>
  <c r="U73" i="12" s="1"/>
  <c r="Q169" i="12"/>
  <c r="Q171" i="12" s="1"/>
  <c r="Q173" i="12" s="1"/>
  <c r="AK33" i="12"/>
  <c r="AK35" i="12" s="1"/>
  <c r="AO124" i="12"/>
  <c r="AO120" i="12"/>
  <c r="AO127" i="12"/>
  <c r="AO123" i="12"/>
  <c r="AQ36" i="12"/>
  <c r="AQ39" i="12" s="1"/>
  <c r="W73" i="12" s="1"/>
  <c r="AH128" i="12"/>
  <c r="AH121" i="12"/>
  <c r="AM33" i="12"/>
  <c r="AM35" i="12" s="1"/>
  <c r="S169" i="12"/>
  <c r="S171" i="12" s="1"/>
  <c r="S173" i="12" s="1"/>
  <c r="K74" i="12"/>
  <c r="K166" i="12" s="1"/>
  <c r="AQ127" i="12"/>
  <c r="AQ124" i="12"/>
  <c r="AQ123" i="12"/>
  <c r="AQ120" i="12"/>
  <c r="W157" i="8"/>
  <c r="U157" i="8"/>
  <c r="Q157" i="8"/>
  <c r="S157" i="8"/>
  <c r="O157" i="8"/>
  <c r="W161" i="8"/>
  <c r="U161" i="8"/>
  <c r="Q161" i="8"/>
  <c r="S161" i="8"/>
  <c r="O161" i="8"/>
  <c r="U154" i="8"/>
  <c r="Q154" i="8"/>
  <c r="W154" i="8"/>
  <c r="S154" i="8"/>
  <c r="O154" i="8"/>
  <c r="I38" i="8"/>
  <c r="I32" i="8"/>
  <c r="I34" i="8"/>
  <c r="W163" i="8"/>
  <c r="U163" i="8"/>
  <c r="Q163" i="8"/>
  <c r="S163" i="8"/>
  <c r="O163" i="8"/>
  <c r="U158" i="8"/>
  <c r="Q158" i="8"/>
  <c r="W158" i="8"/>
  <c r="S158" i="8"/>
  <c r="O158" i="8"/>
  <c r="Q61" i="8"/>
  <c r="K62" i="8"/>
  <c r="W61" i="8"/>
  <c r="S61" i="8"/>
  <c r="U61" i="8"/>
  <c r="O61" i="8"/>
  <c r="Q155" i="8"/>
  <c r="O155" i="8"/>
  <c r="U155" i="8"/>
  <c r="W155" i="8"/>
  <c r="S155" i="8"/>
  <c r="AM31" i="8"/>
  <c r="AK31" i="8"/>
  <c r="U164" i="8"/>
  <c r="Q164" i="8"/>
  <c r="W164" i="8"/>
  <c r="S164" i="8"/>
  <c r="O164" i="8"/>
  <c r="U160" i="8"/>
  <c r="S160" i="8"/>
  <c r="Q160" i="8"/>
  <c r="O160" i="8"/>
  <c r="W160" i="8"/>
  <c r="K127" i="8"/>
  <c r="AH127" i="8" s="1"/>
  <c r="K120" i="8"/>
  <c r="AH120" i="8" s="1"/>
  <c r="W153" i="8"/>
  <c r="U153" i="8"/>
  <c r="Q153" i="8"/>
  <c r="S153" i="8"/>
  <c r="O153" i="8"/>
  <c r="Q159" i="8"/>
  <c r="O159" i="8"/>
  <c r="U159" i="8"/>
  <c r="S159" i="8"/>
  <c r="W159" i="8"/>
  <c r="AO31" i="8"/>
  <c r="AQ31" i="8"/>
  <c r="S152" i="8"/>
  <c r="Q152" i="8"/>
  <c r="U152" i="8"/>
  <c r="O152" i="8"/>
  <c r="W152" i="8"/>
  <c r="U156" i="8"/>
  <c r="S156" i="8"/>
  <c r="Q156" i="8"/>
  <c r="W156" i="8"/>
  <c r="O156" i="8"/>
  <c r="AB66" i="8"/>
  <c r="U150" i="8"/>
  <c r="Q150" i="8"/>
  <c r="S150" i="8"/>
  <c r="W150" i="8"/>
  <c r="O150" i="8"/>
  <c r="W149" i="8"/>
  <c r="K165" i="8"/>
  <c r="U149" i="8"/>
  <c r="Q149" i="8"/>
  <c r="S149" i="8"/>
  <c r="O149" i="8"/>
  <c r="O151" i="8"/>
  <c r="U151" i="8"/>
  <c r="W151" i="8"/>
  <c r="S151" i="8"/>
  <c r="Q151" i="8"/>
  <c r="AF96" i="5"/>
  <c r="AA64" i="5"/>
  <c r="M64" i="5" s="1"/>
  <c r="AF95" i="5"/>
  <c r="Q148" i="5"/>
  <c r="W94" i="5"/>
  <c r="U94" i="5"/>
  <c r="S94" i="5"/>
  <c r="Q94" i="5"/>
  <c r="O94" i="5"/>
  <c r="W104" i="5"/>
  <c r="W147" i="5" s="1"/>
  <c r="U104" i="5"/>
  <c r="U147" i="5" s="1"/>
  <c r="S104" i="5"/>
  <c r="S147" i="5" s="1"/>
  <c r="Q104" i="5"/>
  <c r="Q147" i="5" s="1"/>
  <c r="O104" i="5"/>
  <c r="O168" i="5" s="1"/>
  <c r="O178" i="5" s="1"/>
  <c r="AJ101" i="5"/>
  <c r="AJ100" i="5"/>
  <c r="AJ99" i="5"/>
  <c r="AJ98" i="5"/>
  <c r="AJ97" i="5"/>
  <c r="AJ96" i="5"/>
  <c r="AJ95" i="5"/>
  <c r="K162" i="5"/>
  <c r="R162" i="5"/>
  <c r="Q162" i="5" s="1"/>
  <c r="AH129" i="5"/>
  <c r="AH123" i="5"/>
  <c r="AH116" i="5"/>
  <c r="W105" i="5"/>
  <c r="U105" i="5"/>
  <c r="S105" i="5"/>
  <c r="Q105" i="5"/>
  <c r="O105" i="5"/>
  <c r="W170" i="5"/>
  <c r="S170" i="5"/>
  <c r="Q170" i="5"/>
  <c r="O170" i="5"/>
  <c r="K168" i="5"/>
  <c r="K178" i="5" s="1"/>
  <c r="X162" i="5"/>
  <c r="W162" i="5" s="1"/>
  <c r="V162" i="5"/>
  <c r="U162" i="5" s="1"/>
  <c r="S162" i="5"/>
  <c r="O162" i="5"/>
  <c r="W148" i="5"/>
  <c r="U148" i="5"/>
  <c r="S148" i="5"/>
  <c r="K147" i="5"/>
  <c r="AS130" i="5"/>
  <c r="AQ130" i="5"/>
  <c r="AO130" i="5"/>
  <c r="AM130" i="5"/>
  <c r="AK130" i="5"/>
  <c r="AS122" i="5"/>
  <c r="AO122" i="5"/>
  <c r="AM122" i="5"/>
  <c r="AK122" i="5"/>
  <c r="K104" i="5"/>
  <c r="G97" i="5"/>
  <c r="G96" i="5"/>
  <c r="G95" i="5"/>
  <c r="K59" i="5"/>
  <c r="AI31" i="5"/>
  <c r="K58" i="5"/>
  <c r="K149" i="5" s="1"/>
  <c r="AQ30" i="5"/>
  <c r="AO30" i="5"/>
  <c r="AM30" i="5"/>
  <c r="AK30" i="5"/>
  <c r="AI30" i="5"/>
  <c r="AQ29" i="5"/>
  <c r="AO29" i="5"/>
  <c r="AM29" i="5"/>
  <c r="AK29" i="5"/>
  <c r="AI29" i="5"/>
  <c r="AQ28" i="5"/>
  <c r="AO28" i="5"/>
  <c r="AM28" i="5"/>
  <c r="AK28" i="5"/>
  <c r="AI28" i="5"/>
  <c r="K61" i="5"/>
  <c r="AO31" i="5"/>
  <c r="AH117" i="5"/>
  <c r="AH130" i="5"/>
  <c r="AH122" i="5"/>
  <c r="AM97" i="12" l="1"/>
  <c r="AK36" i="12"/>
  <c r="AK39" i="12" s="1"/>
  <c r="Q73" i="12" s="1"/>
  <c r="Q97" i="12"/>
  <c r="AI27" i="11"/>
  <c r="AK24" i="11"/>
  <c r="Q58" i="11"/>
  <c r="AK21" i="11" s="1"/>
  <c r="I36" i="5"/>
  <c r="I39" i="5" s="1"/>
  <c r="S62" i="11"/>
  <c r="Q63" i="11"/>
  <c r="AK23" i="11" s="1"/>
  <c r="AK26" i="11" s="1"/>
  <c r="AK25" i="11" s="1"/>
  <c r="AK37" i="11" s="1"/>
  <c r="Q68" i="11" s="1"/>
  <c r="K177" i="11"/>
  <c r="AH117" i="11"/>
  <c r="O96" i="11"/>
  <c r="AK96" i="11"/>
  <c r="W168" i="5"/>
  <c r="W178" i="5" s="1"/>
  <c r="O147" i="5"/>
  <c r="U168" i="5"/>
  <c r="U178" i="5" s="1"/>
  <c r="S168" i="5"/>
  <c r="S178" i="5" s="1"/>
  <c r="K166" i="11"/>
  <c r="K167" i="11" s="1"/>
  <c r="K154" i="5"/>
  <c r="S154" i="5" s="1"/>
  <c r="U65" i="11"/>
  <c r="U65" i="5" s="1"/>
  <c r="Q168" i="5"/>
  <c r="Q178" i="5" s="1"/>
  <c r="K163" i="5"/>
  <c r="O163" i="5" s="1"/>
  <c r="AB64" i="5"/>
  <c r="AE95" i="5"/>
  <c r="AK31" i="5"/>
  <c r="U149" i="5"/>
  <c r="W149" i="5"/>
  <c r="O149" i="5"/>
  <c r="S149" i="5"/>
  <c r="Q149" i="5"/>
  <c r="K62" i="5"/>
  <c r="S61" i="5"/>
  <c r="Q61" i="5"/>
  <c r="U61" i="5"/>
  <c r="O61" i="5"/>
  <c r="W61" i="5"/>
  <c r="K150" i="5"/>
  <c r="K151" i="5"/>
  <c r="K161" i="5"/>
  <c r="K153" i="5"/>
  <c r="K157" i="5"/>
  <c r="K155" i="5"/>
  <c r="O155" i="5" s="1"/>
  <c r="K160" i="5"/>
  <c r="K156" i="5"/>
  <c r="K158" i="5"/>
  <c r="K152" i="5"/>
  <c r="K164" i="5"/>
  <c r="K159" i="5"/>
  <c r="W66" i="11"/>
  <c r="W66" i="5" s="1"/>
  <c r="AH131" i="11"/>
  <c r="AH125" i="11"/>
  <c r="AH111" i="11"/>
  <c r="AH110" i="11"/>
  <c r="W82" i="11"/>
  <c r="AH107" i="11"/>
  <c r="AH114" i="11"/>
  <c r="S82" i="11"/>
  <c r="Q82" i="11"/>
  <c r="I71" i="11"/>
  <c r="AH118" i="11"/>
  <c r="AH113" i="11"/>
  <c r="AH109" i="11"/>
  <c r="AH112" i="11"/>
  <c r="AH108" i="11"/>
  <c r="U82" i="11"/>
  <c r="O82" i="11"/>
  <c r="AH119" i="11"/>
  <c r="K98" i="11"/>
  <c r="K136" i="11" s="1"/>
  <c r="AH136" i="11" s="1"/>
  <c r="AH126" i="11"/>
  <c r="AI32" i="11"/>
  <c r="AI34" i="11"/>
  <c r="AI38" i="11"/>
  <c r="AH114" i="12"/>
  <c r="AH113" i="12"/>
  <c r="AH112" i="12"/>
  <c r="AH118" i="12"/>
  <c r="U81" i="12"/>
  <c r="AH125" i="12"/>
  <c r="S81" i="12"/>
  <c r="AH109" i="12"/>
  <c r="W82" i="12"/>
  <c r="Q81" i="12"/>
  <c r="AH131" i="12"/>
  <c r="AH111" i="12"/>
  <c r="U82" i="12"/>
  <c r="O81" i="12"/>
  <c r="S82" i="12"/>
  <c r="AH110" i="12"/>
  <c r="Q82" i="12"/>
  <c r="O82" i="12"/>
  <c r="W81" i="12"/>
  <c r="AH108" i="12"/>
  <c r="I71" i="12"/>
  <c r="AK128" i="12"/>
  <c r="AK121" i="12"/>
  <c r="K98" i="12"/>
  <c r="AH132" i="12" s="1"/>
  <c r="AH126" i="12"/>
  <c r="AH119" i="12"/>
  <c r="AS128" i="12"/>
  <c r="AS121" i="12"/>
  <c r="O95" i="12"/>
  <c r="O67" i="12"/>
  <c r="O70" i="12" s="1"/>
  <c r="O74" i="12"/>
  <c r="AK95" i="12"/>
  <c r="O60" i="12"/>
  <c r="O85" i="12" s="1"/>
  <c r="W174" i="12"/>
  <c r="Q174" i="12"/>
  <c r="AH115" i="12"/>
  <c r="AH124" i="12"/>
  <c r="AS95" i="12"/>
  <c r="W95" i="12"/>
  <c r="W74" i="12"/>
  <c r="W60" i="12"/>
  <c r="W85" i="12" s="1"/>
  <c r="W67" i="12"/>
  <c r="W70" i="12" s="1"/>
  <c r="AQ95" i="12"/>
  <c r="U95" i="12"/>
  <c r="U67" i="12"/>
  <c r="U70" i="12" s="1"/>
  <c r="U74" i="12"/>
  <c r="U60" i="12"/>
  <c r="U85" i="12" s="1"/>
  <c r="AM95" i="12"/>
  <c r="Q95" i="12"/>
  <c r="Q67" i="12"/>
  <c r="Q70" i="12" s="1"/>
  <c r="Q74" i="12"/>
  <c r="Q60" i="12"/>
  <c r="Q85" i="12" s="1"/>
  <c r="K175" i="12"/>
  <c r="K176" i="12" s="1"/>
  <c r="AO95" i="12"/>
  <c r="S95" i="12"/>
  <c r="S67" i="12"/>
  <c r="S70" i="12" s="1"/>
  <c r="S74" i="12"/>
  <c r="S60" i="12"/>
  <c r="S85" i="12" s="1"/>
  <c r="S174" i="12"/>
  <c r="AQ128" i="12"/>
  <c r="AQ121" i="12"/>
  <c r="AM121" i="12"/>
  <c r="AM128" i="12"/>
  <c r="AS127" i="12"/>
  <c r="AS120" i="12"/>
  <c r="AS124" i="12"/>
  <c r="AS123" i="12"/>
  <c r="AA66" i="8"/>
  <c r="M66" i="8" s="1"/>
  <c r="O165" i="8"/>
  <c r="O58" i="8"/>
  <c r="AI21" i="8" s="1"/>
  <c r="K63" i="8"/>
  <c r="Q165" i="8"/>
  <c r="AK22" i="8"/>
  <c r="Q102" i="8"/>
  <c r="U165" i="8"/>
  <c r="W165" i="8"/>
  <c r="O102" i="8"/>
  <c r="AI22" i="8"/>
  <c r="I36" i="8"/>
  <c r="I39" i="8" s="1"/>
  <c r="K73" i="8" s="1"/>
  <c r="K136" i="8" s="1"/>
  <c r="AH136" i="8" s="1"/>
  <c r="U102" i="8"/>
  <c r="AO22" i="8"/>
  <c r="K169" i="8"/>
  <c r="K171" i="8" s="1"/>
  <c r="K173" i="8" s="1"/>
  <c r="I33" i="8"/>
  <c r="I35" i="8" s="1"/>
  <c r="W102" i="8"/>
  <c r="AQ22" i="8"/>
  <c r="S165" i="8"/>
  <c r="AB64" i="8"/>
  <c r="AA64" i="8"/>
  <c r="S102" i="8"/>
  <c r="AM22" i="8"/>
  <c r="K69" i="8"/>
  <c r="K97" i="8"/>
  <c r="O77" i="12" l="1"/>
  <c r="O78" i="12" s="1"/>
  <c r="O79" i="12" s="1"/>
  <c r="O80" i="12" s="1"/>
  <c r="Q96" i="11"/>
  <c r="Q127" i="11" s="1"/>
  <c r="AM127" i="11" s="1"/>
  <c r="AM96" i="11"/>
  <c r="S58" i="11"/>
  <c r="AM21" i="11" s="1"/>
  <c r="AK27" i="11"/>
  <c r="AK34" i="11" s="1"/>
  <c r="U62" i="11"/>
  <c r="U62" i="5" s="1"/>
  <c r="S63" i="11"/>
  <c r="AM23" i="11" s="1"/>
  <c r="AM26" i="11" s="1"/>
  <c r="AM25" i="11" s="1"/>
  <c r="AM37" i="11" s="1"/>
  <c r="S96" i="11" s="1"/>
  <c r="AM24" i="11"/>
  <c r="O127" i="11"/>
  <c r="AK127" i="11" s="1"/>
  <c r="O124" i="11"/>
  <c r="AK124" i="11" s="1"/>
  <c r="O123" i="11"/>
  <c r="AK123" i="11" s="1"/>
  <c r="AH132" i="11"/>
  <c r="AH133" i="11" s="1"/>
  <c r="O120" i="11"/>
  <c r="AK120" i="11" s="1"/>
  <c r="W65" i="11"/>
  <c r="W65" i="5" s="1"/>
  <c r="AA65" i="5" s="1"/>
  <c r="Q154" i="5"/>
  <c r="W77" i="12"/>
  <c r="K74" i="8"/>
  <c r="K166" i="8" s="1"/>
  <c r="W154" i="5"/>
  <c r="O154" i="5"/>
  <c r="U154" i="5"/>
  <c r="W163" i="5"/>
  <c r="S163" i="5"/>
  <c r="K165" i="5"/>
  <c r="U163" i="5"/>
  <c r="Q163" i="5"/>
  <c r="S161" i="5"/>
  <c r="O161" i="5"/>
  <c r="W161" i="5"/>
  <c r="Q161" i="5"/>
  <c r="U161" i="5"/>
  <c r="S158" i="5"/>
  <c r="O158" i="5"/>
  <c r="U158" i="5"/>
  <c r="W158" i="5"/>
  <c r="Q158" i="5"/>
  <c r="K68" i="5"/>
  <c r="K96" i="5"/>
  <c r="AM22" i="5"/>
  <c r="S102" i="5"/>
  <c r="S129" i="5" s="1"/>
  <c r="O151" i="5"/>
  <c r="W151" i="5"/>
  <c r="S151" i="5"/>
  <c r="U151" i="5"/>
  <c r="Q151" i="5"/>
  <c r="S155" i="5"/>
  <c r="Q155" i="5"/>
  <c r="W155" i="5"/>
  <c r="U155" i="5"/>
  <c r="AQ22" i="5"/>
  <c r="W102" i="5"/>
  <c r="W129" i="5" s="1"/>
  <c r="U157" i="5"/>
  <c r="Q157" i="5"/>
  <c r="O157" i="5"/>
  <c r="S157" i="5"/>
  <c r="W157" i="5"/>
  <c r="O102" i="5"/>
  <c r="O129" i="5" s="1"/>
  <c r="AI22" i="5"/>
  <c r="K63" i="5"/>
  <c r="S160" i="5"/>
  <c r="W160" i="5"/>
  <c r="O160" i="5"/>
  <c r="Q160" i="5"/>
  <c r="U160" i="5"/>
  <c r="W159" i="5"/>
  <c r="S159" i="5"/>
  <c r="Q159" i="5"/>
  <c r="O159" i="5"/>
  <c r="U159" i="5"/>
  <c r="W156" i="5"/>
  <c r="Q156" i="5"/>
  <c r="O156" i="5"/>
  <c r="S156" i="5"/>
  <c r="U156" i="5"/>
  <c r="Q153" i="5"/>
  <c r="W153" i="5"/>
  <c r="U153" i="5"/>
  <c r="S153" i="5"/>
  <c r="O153" i="5"/>
  <c r="AO22" i="5"/>
  <c r="U102" i="5"/>
  <c r="U129" i="5" s="1"/>
  <c r="S152" i="5"/>
  <c r="O152" i="5"/>
  <c r="U152" i="5"/>
  <c r="W152" i="5"/>
  <c r="Q152" i="5"/>
  <c r="W150" i="5"/>
  <c r="Q150" i="5"/>
  <c r="U150" i="5"/>
  <c r="S150" i="5"/>
  <c r="O150" i="5"/>
  <c r="W164" i="5"/>
  <c r="S164" i="5"/>
  <c r="U164" i="5"/>
  <c r="O164" i="5"/>
  <c r="Q164" i="5"/>
  <c r="Q102" i="5"/>
  <c r="Q129" i="5" s="1"/>
  <c r="AK22" i="5"/>
  <c r="Q120" i="11"/>
  <c r="AM120" i="11" s="1"/>
  <c r="O97" i="11"/>
  <c r="AK97" i="11"/>
  <c r="O69" i="11"/>
  <c r="O81" i="11" s="1"/>
  <c r="AI36" i="11"/>
  <c r="AB66" i="11"/>
  <c r="AF97" i="11" s="1"/>
  <c r="AA66" i="11"/>
  <c r="AI33" i="11"/>
  <c r="AI35" i="11" s="1"/>
  <c r="O169" i="11"/>
  <c r="O171" i="11" s="1"/>
  <c r="O173" i="11" s="1"/>
  <c r="O174" i="11" s="1"/>
  <c r="AO119" i="12"/>
  <c r="S99" i="12"/>
  <c r="AO126" i="12"/>
  <c r="S98" i="12"/>
  <c r="AK98" i="12"/>
  <c r="AK99" i="12"/>
  <c r="U99" i="12"/>
  <c r="AQ119" i="12"/>
  <c r="AQ126" i="12"/>
  <c r="U98" i="12"/>
  <c r="AQ122" i="12"/>
  <c r="Q77" i="12"/>
  <c r="W99" i="12"/>
  <c r="AS126" i="12"/>
  <c r="W98" i="12"/>
  <c r="AS119" i="12"/>
  <c r="AS99" i="12"/>
  <c r="AS98" i="12"/>
  <c r="S77" i="12"/>
  <c r="AO98" i="12"/>
  <c r="AO99" i="12"/>
  <c r="AQ99" i="12"/>
  <c r="AQ98" i="12"/>
  <c r="O98" i="12"/>
  <c r="AK126" i="12"/>
  <c r="O99" i="12"/>
  <c r="AK119" i="12"/>
  <c r="O83" i="12"/>
  <c r="U77" i="12"/>
  <c r="AM126" i="12"/>
  <c r="AM119" i="12"/>
  <c r="Q99" i="12"/>
  <c r="Q98" i="12"/>
  <c r="AM98" i="12"/>
  <c r="AM99" i="12"/>
  <c r="W78" i="12"/>
  <c r="W79" i="12" s="1"/>
  <c r="W80" i="12" s="1"/>
  <c r="W83" i="12"/>
  <c r="K133" i="12"/>
  <c r="AH107" i="12"/>
  <c r="AH133" i="12" s="1"/>
  <c r="AH137" i="12" s="1"/>
  <c r="K141" i="12" s="1"/>
  <c r="AE97" i="8"/>
  <c r="M64" i="8"/>
  <c r="AE95" i="8"/>
  <c r="AA65" i="8"/>
  <c r="K121" i="8"/>
  <c r="AH121" i="8" s="1"/>
  <c r="K128" i="8"/>
  <c r="AH128" i="8" s="1"/>
  <c r="K174" i="8"/>
  <c r="K95" i="8"/>
  <c r="K60" i="8"/>
  <c r="K67" i="8"/>
  <c r="K70" i="8" s="1"/>
  <c r="AI24" i="8"/>
  <c r="O63" i="8"/>
  <c r="AI23" i="8" s="1"/>
  <c r="AI26" i="8" s="1"/>
  <c r="AI25" i="8" s="1"/>
  <c r="AI37" i="8" s="1"/>
  <c r="K115" i="8" l="1"/>
  <c r="AH115" i="8" s="1"/>
  <c r="K124" i="8"/>
  <c r="AH124" i="8" s="1"/>
  <c r="K175" i="8"/>
  <c r="K176" i="8" s="1"/>
  <c r="Q124" i="11"/>
  <c r="AM124" i="11" s="1"/>
  <c r="Q123" i="11"/>
  <c r="AM123" i="11" s="1"/>
  <c r="W62" i="11"/>
  <c r="W62" i="5" s="1"/>
  <c r="AM27" i="11"/>
  <c r="AM32" i="11" s="1"/>
  <c r="U58" i="11"/>
  <c r="AO21" i="11" s="1"/>
  <c r="AO24" i="11"/>
  <c r="S68" i="11"/>
  <c r="AK38" i="11"/>
  <c r="Q69" i="11" s="1"/>
  <c r="Q81" i="11" s="1"/>
  <c r="AK32" i="11"/>
  <c r="AK33" i="11" s="1"/>
  <c r="AK35" i="11" s="1"/>
  <c r="U63" i="11"/>
  <c r="AO23" i="11" s="1"/>
  <c r="AO26" i="11" s="1"/>
  <c r="AO25" i="11" s="1"/>
  <c r="AO37" i="11" s="1"/>
  <c r="AQ96" i="11" s="1"/>
  <c r="AO96" i="11"/>
  <c r="AB65" i="11"/>
  <c r="AF96" i="11" s="1"/>
  <c r="K133" i="11"/>
  <c r="K137" i="11" s="1"/>
  <c r="AH137" i="11"/>
  <c r="K141" i="11" s="1"/>
  <c r="AA65" i="11"/>
  <c r="M65" i="11" s="1"/>
  <c r="AB65" i="5"/>
  <c r="U165" i="5"/>
  <c r="W165" i="5"/>
  <c r="Q165" i="5"/>
  <c r="S165" i="5"/>
  <c r="O165" i="5"/>
  <c r="M65" i="5"/>
  <c r="AE96" i="5"/>
  <c r="AI24" i="5"/>
  <c r="O63" i="5"/>
  <c r="AI23" i="5" s="1"/>
  <c r="AI26" i="5" s="1"/>
  <c r="AI25" i="5" s="1"/>
  <c r="AI37" i="5" s="1"/>
  <c r="O58" i="5"/>
  <c r="AI21" i="5" s="1"/>
  <c r="K169" i="5"/>
  <c r="K171" i="5" s="1"/>
  <c r="K173" i="5" s="1"/>
  <c r="K97" i="5"/>
  <c r="K69" i="5"/>
  <c r="AH120" i="5"/>
  <c r="AH127" i="5"/>
  <c r="AE97" i="11"/>
  <c r="M66" i="11"/>
  <c r="O128" i="11"/>
  <c r="AK128" i="11" s="1"/>
  <c r="O121" i="11"/>
  <c r="AK121" i="11" s="1"/>
  <c r="S127" i="11"/>
  <c r="AO127" i="11" s="1"/>
  <c r="S124" i="11"/>
  <c r="AO124" i="11" s="1"/>
  <c r="S120" i="11"/>
  <c r="AO120" i="11" s="1"/>
  <c r="S123" i="11"/>
  <c r="AO123" i="11" s="1"/>
  <c r="AK95" i="11"/>
  <c r="O95" i="11"/>
  <c r="O60" i="11"/>
  <c r="O85" i="11" s="1"/>
  <c r="O67" i="11"/>
  <c r="O74" i="11"/>
  <c r="AI39" i="11"/>
  <c r="O73" i="11" s="1"/>
  <c r="AK114" i="12"/>
  <c r="O100" i="12"/>
  <c r="AK100" i="12"/>
  <c r="O101" i="12"/>
  <c r="AK132" i="12"/>
  <c r="AK115" i="12"/>
  <c r="K143" i="12"/>
  <c r="K142" i="12"/>
  <c r="K145" i="12" s="1"/>
  <c r="H179" i="12" s="1"/>
  <c r="K134" i="12"/>
  <c r="K137" i="12"/>
  <c r="U136" i="12"/>
  <c r="AQ136" i="12" s="1"/>
  <c r="U175" i="12"/>
  <c r="U176" i="12" s="1"/>
  <c r="U166" i="12"/>
  <c r="AS132" i="12"/>
  <c r="AS115" i="12"/>
  <c r="Q83" i="12"/>
  <c r="Q78" i="12"/>
  <c r="Q79" i="12" s="1"/>
  <c r="Q80" i="12" s="1"/>
  <c r="O136" i="12"/>
  <c r="AK136" i="12" s="1"/>
  <c r="O175" i="12"/>
  <c r="O176" i="12" s="1"/>
  <c r="O166" i="12"/>
  <c r="Q100" i="12"/>
  <c r="Q101" i="12" s="1"/>
  <c r="AM100" i="12"/>
  <c r="AM114" i="12"/>
  <c r="AQ100" i="12"/>
  <c r="AQ114" i="12"/>
  <c r="U100" i="12"/>
  <c r="U83" i="12"/>
  <c r="U78" i="12"/>
  <c r="U79" i="12" s="1"/>
  <c r="U80" i="12" s="1"/>
  <c r="AO115" i="12"/>
  <c r="AO132" i="12"/>
  <c r="S136" i="12"/>
  <c r="AO136" i="12" s="1"/>
  <c r="S166" i="12"/>
  <c r="S175" i="12"/>
  <c r="S176" i="12" s="1"/>
  <c r="AO100" i="12"/>
  <c r="AO114" i="12"/>
  <c r="S100" i="12"/>
  <c r="AM132" i="12"/>
  <c r="AM115" i="12"/>
  <c r="W136" i="12"/>
  <c r="AS136" i="12" s="1"/>
  <c r="W166" i="12"/>
  <c r="W175" i="12"/>
  <c r="W176" i="12" s="1"/>
  <c r="AS114" i="12"/>
  <c r="AS100" i="12"/>
  <c r="W100" i="12"/>
  <c r="W101" i="12" s="1"/>
  <c r="AQ115" i="12"/>
  <c r="AQ132" i="12"/>
  <c r="Q136" i="12"/>
  <c r="AM136" i="12" s="1"/>
  <c r="Q166" i="12"/>
  <c r="Q175" i="12"/>
  <c r="Q176" i="12" s="1"/>
  <c r="S78" i="12"/>
  <c r="S79" i="12" s="1"/>
  <c r="S80" i="12" s="1"/>
  <c r="S83" i="12"/>
  <c r="AK96" i="8"/>
  <c r="O96" i="8"/>
  <c r="O68" i="8"/>
  <c r="AE96" i="8"/>
  <c r="E99" i="8" s="1"/>
  <c r="M65" i="8"/>
  <c r="K110" i="8"/>
  <c r="AH110" i="8" s="1"/>
  <c r="W82" i="8"/>
  <c r="K118" i="8"/>
  <c r="AH118" i="8" s="1"/>
  <c r="K109" i="8"/>
  <c r="AH109" i="8" s="1"/>
  <c r="K107" i="8"/>
  <c r="K113" i="8"/>
  <c r="AH113" i="8" s="1"/>
  <c r="K108" i="8"/>
  <c r="AH108" i="8" s="1"/>
  <c r="S82" i="8"/>
  <c r="K112" i="8"/>
  <c r="AH112" i="8" s="1"/>
  <c r="O82" i="8"/>
  <c r="K131" i="8"/>
  <c r="AH131" i="8" s="1"/>
  <c r="M117" i="8"/>
  <c r="I71" i="8"/>
  <c r="U82" i="8"/>
  <c r="K125" i="8"/>
  <c r="AH125" i="8" s="1"/>
  <c r="K114" i="8"/>
  <c r="AH114" i="8" s="1"/>
  <c r="K111" i="8"/>
  <c r="AH111" i="8" s="1"/>
  <c r="Q82" i="8"/>
  <c r="K119" i="8"/>
  <c r="AH119" i="8" s="1"/>
  <c r="K126" i="8"/>
  <c r="AH126" i="8" s="1"/>
  <c r="K98" i="8"/>
  <c r="K132" i="8" s="1"/>
  <c r="AH132" i="8" s="1"/>
  <c r="AI27" i="8"/>
  <c r="AB65" i="8"/>
  <c r="Q63" i="8"/>
  <c r="AK23" i="8" s="1"/>
  <c r="AK26" i="8" s="1"/>
  <c r="AK25" i="8" s="1"/>
  <c r="AK37" i="8" s="1"/>
  <c r="AK24" i="8"/>
  <c r="Q58" i="8"/>
  <c r="AK21" i="8" s="1"/>
  <c r="AA66" i="5"/>
  <c r="M66" i="5" s="1"/>
  <c r="K182" i="12" l="1"/>
  <c r="H180" i="12"/>
  <c r="U96" i="11"/>
  <c r="U124" i="11" s="1"/>
  <c r="AQ124" i="11" s="1"/>
  <c r="W63" i="11"/>
  <c r="AQ23" i="11" s="1"/>
  <c r="AQ26" i="11" s="1"/>
  <c r="AQ25" i="11" s="1"/>
  <c r="AQ37" i="11" s="1"/>
  <c r="W96" i="11" s="1"/>
  <c r="U68" i="11"/>
  <c r="AO27" i="11"/>
  <c r="AO38" i="11" s="1"/>
  <c r="U69" i="11" s="1"/>
  <c r="AM38" i="11"/>
  <c r="S97" i="11" s="1"/>
  <c r="Q169" i="11"/>
  <c r="Q171" i="11" s="1"/>
  <c r="Q173" i="11" s="1"/>
  <c r="Q174" i="11" s="1"/>
  <c r="W58" i="11"/>
  <c r="AQ21" i="11" s="1"/>
  <c r="AM34" i="11"/>
  <c r="AQ24" i="11"/>
  <c r="AM97" i="11"/>
  <c r="Q97" i="11"/>
  <c r="AK36" i="11"/>
  <c r="AE96" i="11"/>
  <c r="E99" i="11" s="1"/>
  <c r="AO34" i="11"/>
  <c r="AO36" i="11" s="1"/>
  <c r="K143" i="11"/>
  <c r="K134" i="11"/>
  <c r="K142" i="11"/>
  <c r="AK96" i="5"/>
  <c r="O68" i="5"/>
  <c r="O96" i="5"/>
  <c r="AI27" i="5"/>
  <c r="AK24" i="5"/>
  <c r="Q63" i="5"/>
  <c r="AK23" i="5" s="1"/>
  <c r="AK26" i="5" s="1"/>
  <c r="AK25" i="5" s="1"/>
  <c r="AK37" i="5" s="1"/>
  <c r="Q58" i="5"/>
  <c r="AK21" i="5" s="1"/>
  <c r="AH121" i="5"/>
  <c r="AH128" i="5"/>
  <c r="K67" i="5"/>
  <c r="K70" i="5" s="1"/>
  <c r="K60" i="5"/>
  <c r="K95" i="5"/>
  <c r="K74" i="5"/>
  <c r="K175" i="5" s="1"/>
  <c r="K176" i="5" s="1"/>
  <c r="K177" i="5" s="1"/>
  <c r="K174" i="5"/>
  <c r="K73" i="5"/>
  <c r="K138" i="11"/>
  <c r="K139" i="11"/>
  <c r="U127" i="11"/>
  <c r="AQ127" i="11" s="1"/>
  <c r="S169" i="11"/>
  <c r="S171" i="11" s="1"/>
  <c r="S173" i="11" s="1"/>
  <c r="AM33" i="11"/>
  <c r="AM35" i="11" s="1"/>
  <c r="O70" i="11"/>
  <c r="O77" i="11"/>
  <c r="O119" i="11"/>
  <c r="AK119" i="11" s="1"/>
  <c r="O99" i="11"/>
  <c r="O98" i="11"/>
  <c r="O126" i="11"/>
  <c r="AK126" i="11" s="1"/>
  <c r="AK98" i="11"/>
  <c r="AK99" i="11"/>
  <c r="K93" i="12"/>
  <c r="AS129" i="12"/>
  <c r="AS113" i="12"/>
  <c r="AS112" i="12"/>
  <c r="AS111" i="12"/>
  <c r="AS110" i="12"/>
  <c r="AS109" i="12"/>
  <c r="AS108" i="12"/>
  <c r="AS116" i="12"/>
  <c r="AS117" i="12"/>
  <c r="AM131" i="12"/>
  <c r="AM125" i="12"/>
  <c r="AM118" i="12"/>
  <c r="U101" i="12"/>
  <c r="K138" i="12"/>
  <c r="K139" i="12"/>
  <c r="AK131" i="12"/>
  <c r="AK125" i="12"/>
  <c r="AK118" i="12"/>
  <c r="AM112" i="12"/>
  <c r="AM111" i="12"/>
  <c r="AM110" i="12"/>
  <c r="AM109" i="12"/>
  <c r="AM108" i="12"/>
  <c r="AM116" i="12"/>
  <c r="AM113" i="12"/>
  <c r="AM129" i="12"/>
  <c r="AM117" i="12"/>
  <c r="S101" i="12"/>
  <c r="AO118" i="12" s="1"/>
  <c r="AK129" i="12"/>
  <c r="AK113" i="12"/>
  <c r="AK112" i="12"/>
  <c r="AK111" i="12"/>
  <c r="AK109" i="12"/>
  <c r="AK108" i="12"/>
  <c r="AK110" i="12"/>
  <c r="AK116" i="12"/>
  <c r="AK117" i="12"/>
  <c r="AS131" i="12"/>
  <c r="AS125" i="12"/>
  <c r="AS118" i="12"/>
  <c r="AK27" i="8"/>
  <c r="AK32" i="8" s="1"/>
  <c r="AI32" i="8"/>
  <c r="AI38" i="8"/>
  <c r="AI34" i="8"/>
  <c r="AM96" i="8"/>
  <c r="Q96" i="8"/>
  <c r="Q68" i="8"/>
  <c r="O120" i="8"/>
  <c r="AK120" i="8" s="1"/>
  <c r="O127" i="8"/>
  <c r="AK127" i="8" s="1"/>
  <c r="O124" i="8"/>
  <c r="AK124" i="8" s="1"/>
  <c r="O123" i="8"/>
  <c r="AK123" i="8" s="1"/>
  <c r="AM24" i="8"/>
  <c r="S63" i="8"/>
  <c r="AM23" i="8" s="1"/>
  <c r="AM26" i="8" s="1"/>
  <c r="AM25" i="8" s="1"/>
  <c r="AM37" i="8" s="1"/>
  <c r="S58" i="8"/>
  <c r="AM21" i="8" s="1"/>
  <c r="AH107" i="8"/>
  <c r="AH133" i="8" s="1"/>
  <c r="AH137" i="8" s="1"/>
  <c r="K141" i="8" s="1"/>
  <c r="K133" i="8"/>
  <c r="AB66" i="5"/>
  <c r="AF97" i="5" s="1"/>
  <c r="AE97" i="5"/>
  <c r="AS96" i="11" l="1"/>
  <c r="O120" i="5"/>
  <c r="O124" i="5"/>
  <c r="O127" i="5"/>
  <c r="O123" i="5"/>
  <c r="U123" i="11"/>
  <c r="AQ123" i="11" s="1"/>
  <c r="AQ97" i="11"/>
  <c r="AO97" i="11"/>
  <c r="U97" i="11"/>
  <c r="U128" i="11" s="1"/>
  <c r="AQ128" i="11" s="1"/>
  <c r="W68" i="11"/>
  <c r="U120" i="11"/>
  <c r="AQ120" i="11" s="1"/>
  <c r="AM36" i="11"/>
  <c r="AO95" i="11" s="1"/>
  <c r="S69" i="11"/>
  <c r="S81" i="11" s="1"/>
  <c r="AQ27" i="11"/>
  <c r="AQ34" i="11" s="1"/>
  <c r="AO32" i="11"/>
  <c r="AO33" i="11" s="1"/>
  <c r="AO35" i="11" s="1"/>
  <c r="U81" i="11"/>
  <c r="Q128" i="11"/>
  <c r="AM128" i="11" s="1"/>
  <c r="Q121" i="11"/>
  <c r="AM121" i="11" s="1"/>
  <c r="AK39" i="11"/>
  <c r="Q73" i="11" s="1"/>
  <c r="AM95" i="11"/>
  <c r="Q67" i="11"/>
  <c r="Q95" i="11"/>
  <c r="Q60" i="11"/>
  <c r="Q85" i="11" s="1"/>
  <c r="Q74" i="11"/>
  <c r="K145" i="11"/>
  <c r="H179" i="11" s="1"/>
  <c r="H180" i="11" s="1"/>
  <c r="E99" i="5"/>
  <c r="AH115" i="5"/>
  <c r="AH124" i="5"/>
  <c r="K166" i="5"/>
  <c r="K167" i="5" s="1"/>
  <c r="AH119" i="5"/>
  <c r="AH126" i="5"/>
  <c r="K98" i="5"/>
  <c r="K136" i="5" s="1"/>
  <c r="AK27" i="5"/>
  <c r="AM24" i="5"/>
  <c r="S63" i="5"/>
  <c r="AM23" i="5" s="1"/>
  <c r="AM26" i="5" s="1"/>
  <c r="AM25" i="5" s="1"/>
  <c r="AM37" i="5" s="1"/>
  <c r="S58" i="5"/>
  <c r="AM21" i="5" s="1"/>
  <c r="AM96" i="5"/>
  <c r="Q68" i="5"/>
  <c r="Q96" i="5"/>
  <c r="AH108" i="5"/>
  <c r="AH131" i="5"/>
  <c r="AH125" i="5"/>
  <c r="AH110" i="5"/>
  <c r="S82" i="5"/>
  <c r="I71" i="5"/>
  <c r="AH118" i="5"/>
  <c r="AH114" i="5"/>
  <c r="O82" i="5"/>
  <c r="AH112" i="5"/>
  <c r="W82" i="5"/>
  <c r="AH111" i="5"/>
  <c r="U82" i="5"/>
  <c r="AH113" i="5"/>
  <c r="AH109" i="5"/>
  <c r="Q82" i="5"/>
  <c r="AI34" i="5"/>
  <c r="AI38" i="5"/>
  <c r="AI32" i="5"/>
  <c r="S128" i="11"/>
  <c r="AO128" i="11" s="1"/>
  <c r="S121" i="11"/>
  <c r="AO121" i="11" s="1"/>
  <c r="S174" i="11"/>
  <c r="W124" i="11"/>
  <c r="AS124" i="11" s="1"/>
  <c r="W127" i="11"/>
  <c r="AS127" i="11" s="1"/>
  <c r="W120" i="11"/>
  <c r="AS120" i="11" s="1"/>
  <c r="W123" i="11"/>
  <c r="AS123" i="11" s="1"/>
  <c r="O136" i="11"/>
  <c r="AK136" i="11" s="1"/>
  <c r="O166" i="11"/>
  <c r="O167" i="11" s="1"/>
  <c r="O175" i="11"/>
  <c r="O176" i="11" s="1"/>
  <c r="AQ95" i="11"/>
  <c r="U95" i="11"/>
  <c r="U74" i="11"/>
  <c r="U60" i="11"/>
  <c r="U85" i="11" s="1"/>
  <c r="U67" i="11"/>
  <c r="O115" i="11"/>
  <c r="AK115" i="11" s="1"/>
  <c r="O132" i="11"/>
  <c r="AK132" i="11" s="1"/>
  <c r="O114" i="11"/>
  <c r="AK114" i="11" s="1"/>
  <c r="O100" i="11"/>
  <c r="AK100" i="11"/>
  <c r="O78" i="11"/>
  <c r="O79" i="11" s="1"/>
  <c r="O80" i="11" s="1"/>
  <c r="O83" i="11"/>
  <c r="AO39" i="11"/>
  <c r="U73" i="11" s="1"/>
  <c r="AO131" i="12"/>
  <c r="Q133" i="12"/>
  <c r="AM107" i="12"/>
  <c r="AM133" i="12" s="1"/>
  <c r="AM137" i="12" s="1"/>
  <c r="Q141" i="12" s="1"/>
  <c r="AQ108" i="12"/>
  <c r="AQ116" i="12"/>
  <c r="AQ129" i="12"/>
  <c r="AQ113" i="12"/>
  <c r="AQ110" i="12"/>
  <c r="AQ112" i="12"/>
  <c r="AQ109" i="12"/>
  <c r="AQ111" i="12"/>
  <c r="AQ117" i="12"/>
  <c r="AQ118" i="12"/>
  <c r="AO125" i="12"/>
  <c r="AQ125" i="12"/>
  <c r="W133" i="12"/>
  <c r="AS107" i="12"/>
  <c r="AS133" i="12" s="1"/>
  <c r="AS137" i="12" s="1"/>
  <c r="W141" i="12" s="1"/>
  <c r="AQ131" i="12"/>
  <c r="O133" i="12"/>
  <c r="AK107" i="12"/>
  <c r="AK133" i="12" s="1"/>
  <c r="AK137" i="12" s="1"/>
  <c r="O141" i="12" s="1"/>
  <c r="AO110" i="12"/>
  <c r="AO109" i="12"/>
  <c r="AO108" i="12"/>
  <c r="AO116" i="12"/>
  <c r="AO111" i="12"/>
  <c r="AO113" i="12"/>
  <c r="AO129" i="12"/>
  <c r="AO112" i="12"/>
  <c r="AO117" i="12"/>
  <c r="K57" i="12"/>
  <c r="AK38" i="8"/>
  <c r="Q69" i="8" s="1"/>
  <c r="Q81" i="8" s="1"/>
  <c r="AK34" i="8"/>
  <c r="AO96" i="8"/>
  <c r="S96" i="8"/>
  <c r="S68" i="8"/>
  <c r="Q124" i="8"/>
  <c r="AM124" i="8" s="1"/>
  <c r="Q127" i="8"/>
  <c r="AM127" i="8" s="1"/>
  <c r="Q120" i="8"/>
  <c r="AM120" i="8" s="1"/>
  <c r="Q123" i="8"/>
  <c r="AM123" i="8" s="1"/>
  <c r="AM27" i="8"/>
  <c r="U63" i="8"/>
  <c r="AO23" i="8" s="1"/>
  <c r="AO26" i="8" s="1"/>
  <c r="AO25" i="8" s="1"/>
  <c r="AO37" i="8" s="1"/>
  <c r="AO24" i="8"/>
  <c r="U58" i="8"/>
  <c r="AO21" i="8" s="1"/>
  <c r="AI36" i="8"/>
  <c r="AK33" i="8"/>
  <c r="AK35" i="8" s="1"/>
  <c r="Q169" i="8"/>
  <c r="Q171" i="8" s="1"/>
  <c r="Q173" i="8" s="1"/>
  <c r="AK97" i="8"/>
  <c r="O97" i="8"/>
  <c r="O69" i="8"/>
  <c r="O81" i="8" s="1"/>
  <c r="K142" i="8"/>
  <c r="K134" i="8"/>
  <c r="K143" i="8"/>
  <c r="K137" i="8"/>
  <c r="O169" i="8"/>
  <c r="O171" i="8" s="1"/>
  <c r="O173" i="8" s="1"/>
  <c r="AI33" i="8"/>
  <c r="AI35" i="8" s="1"/>
  <c r="AQ38" i="11" l="1"/>
  <c r="Q124" i="5"/>
  <c r="Q127" i="5"/>
  <c r="Q123" i="5"/>
  <c r="Q120" i="5"/>
  <c r="U121" i="11"/>
  <c r="AQ121" i="11" s="1"/>
  <c r="S67" i="11"/>
  <c r="S95" i="11"/>
  <c r="S98" i="11" s="1"/>
  <c r="S74" i="11"/>
  <c r="AM39" i="11"/>
  <c r="S73" i="11" s="1"/>
  <c r="S60" i="11"/>
  <c r="S85" i="11" s="1"/>
  <c r="U169" i="11"/>
  <c r="U171" i="11" s="1"/>
  <c r="U173" i="11" s="1"/>
  <c r="U174" i="11" s="1"/>
  <c r="AQ32" i="11"/>
  <c r="Q119" i="11"/>
  <c r="AM119" i="11" s="1"/>
  <c r="Q98" i="11"/>
  <c r="Q99" i="11"/>
  <c r="Q126" i="11"/>
  <c r="AM126" i="11" s="1"/>
  <c r="Q70" i="11"/>
  <c r="Q77" i="11"/>
  <c r="AM99" i="11"/>
  <c r="AM98" i="11"/>
  <c r="K146" i="11"/>
  <c r="S184" i="11" s="1"/>
  <c r="AK120" i="5"/>
  <c r="AK124" i="5"/>
  <c r="AK123" i="5"/>
  <c r="AK127" i="5"/>
  <c r="O177" i="11"/>
  <c r="AH132" i="5"/>
  <c r="AH136" i="5"/>
  <c r="AM27" i="5"/>
  <c r="AM34" i="5" s="1"/>
  <c r="AO24" i="5"/>
  <c r="U63" i="5"/>
  <c r="AO23" i="5" s="1"/>
  <c r="AO26" i="5" s="1"/>
  <c r="AO25" i="5" s="1"/>
  <c r="AO37" i="5" s="1"/>
  <c r="U58" i="5"/>
  <c r="AO21" i="5" s="1"/>
  <c r="AH107" i="5"/>
  <c r="O169" i="5"/>
  <c r="O171" i="5" s="1"/>
  <c r="O173" i="5" s="1"/>
  <c r="AI33" i="5"/>
  <c r="AI35" i="5" s="1"/>
  <c r="S68" i="5"/>
  <c r="S96" i="5"/>
  <c r="AO96" i="5"/>
  <c r="AI36" i="5"/>
  <c r="AI39" i="5" s="1"/>
  <c r="O73" i="5" s="1"/>
  <c r="AK38" i="5"/>
  <c r="AK34" i="5"/>
  <c r="AK32" i="5"/>
  <c r="AK97" i="5"/>
  <c r="O97" i="5"/>
  <c r="O69" i="5"/>
  <c r="O81" i="5" s="1"/>
  <c r="S70" i="11"/>
  <c r="S77" i="11"/>
  <c r="U126" i="11"/>
  <c r="AQ126" i="11" s="1"/>
  <c r="U98" i="11"/>
  <c r="U99" i="11"/>
  <c r="U122" i="11"/>
  <c r="AQ122" i="11" s="1"/>
  <c r="U119" i="11"/>
  <c r="AQ119" i="11" s="1"/>
  <c r="W97" i="11"/>
  <c r="AS97" i="11"/>
  <c r="W69" i="11"/>
  <c r="W81" i="11" s="1"/>
  <c r="AO99" i="11"/>
  <c r="AO98" i="11"/>
  <c r="AQ99" i="11"/>
  <c r="AQ98" i="11"/>
  <c r="AQ36" i="11"/>
  <c r="AQ33" i="11"/>
  <c r="AQ35" i="11" s="1"/>
  <c r="W169" i="11"/>
  <c r="W171" i="11" s="1"/>
  <c r="W173" i="11" s="1"/>
  <c r="O101" i="11"/>
  <c r="U70" i="11"/>
  <c r="U77" i="11"/>
  <c r="U133" i="12"/>
  <c r="AQ107" i="12"/>
  <c r="AQ133" i="12" s="1"/>
  <c r="AQ137" i="12" s="1"/>
  <c r="U141" i="12" s="1"/>
  <c r="W142" i="12"/>
  <c r="W134" i="12"/>
  <c r="W143" i="12"/>
  <c r="W137" i="12"/>
  <c r="W186" i="12" s="1"/>
  <c r="W187" i="12" s="1"/>
  <c r="W188" i="12" s="1"/>
  <c r="O137" i="12"/>
  <c r="O186" i="12" s="1"/>
  <c r="O187" i="12" s="1"/>
  <c r="O188" i="12" s="1"/>
  <c r="O143" i="12"/>
  <c r="O142" i="12"/>
  <c r="O134" i="12"/>
  <c r="S133" i="12"/>
  <c r="AO107" i="12"/>
  <c r="AO133" i="12" s="1"/>
  <c r="AO137" i="12" s="1"/>
  <c r="S141" i="12" s="1"/>
  <c r="Q137" i="12"/>
  <c r="Q186" i="12" s="1"/>
  <c r="Q187" i="12" s="1"/>
  <c r="Q188" i="12" s="1"/>
  <c r="Q143" i="12"/>
  <c r="Q142" i="12"/>
  <c r="Q134" i="12"/>
  <c r="AK36" i="8"/>
  <c r="AK39" i="8" s="1"/>
  <c r="Q73" i="8" s="1"/>
  <c r="Q97" i="8"/>
  <c r="Q128" i="8" s="1"/>
  <c r="AM128" i="8" s="1"/>
  <c r="AM97" i="8"/>
  <c r="AO27" i="8"/>
  <c r="AO32" i="8" s="1"/>
  <c r="K145" i="8"/>
  <c r="H179" i="8" s="1"/>
  <c r="S127" i="8"/>
  <c r="AO127" i="8" s="1"/>
  <c r="S124" i="8"/>
  <c r="AO124" i="8" s="1"/>
  <c r="S123" i="8"/>
  <c r="AO123" i="8" s="1"/>
  <c r="S120" i="8"/>
  <c r="AO120" i="8" s="1"/>
  <c r="O67" i="8"/>
  <c r="AK95" i="8"/>
  <c r="O74" i="8"/>
  <c r="O60" i="8"/>
  <c r="O85" i="8" s="1"/>
  <c r="O95" i="8"/>
  <c r="AI39" i="8"/>
  <c r="O73" i="8" s="1"/>
  <c r="W63" i="8"/>
  <c r="AQ23" i="8" s="1"/>
  <c r="AQ26" i="8" s="1"/>
  <c r="AQ25" i="8" s="1"/>
  <c r="AQ37" i="8" s="1"/>
  <c r="AQ24" i="8"/>
  <c r="W58" i="8"/>
  <c r="AQ21" i="8" s="1"/>
  <c r="AQ96" i="8"/>
  <c r="U96" i="8"/>
  <c r="U68" i="8"/>
  <c r="K138" i="8"/>
  <c r="K139" i="8"/>
  <c r="O128" i="8"/>
  <c r="AK128" i="8" s="1"/>
  <c r="O121" i="8"/>
  <c r="AK121" i="8" s="1"/>
  <c r="AM32" i="8"/>
  <c r="AM34" i="8"/>
  <c r="AM38" i="8"/>
  <c r="O174" i="8"/>
  <c r="Q174" i="8"/>
  <c r="K182" i="8" l="1"/>
  <c r="H180" i="8"/>
  <c r="Q145" i="12"/>
  <c r="S127" i="5"/>
  <c r="S120" i="5"/>
  <c r="S124" i="5"/>
  <c r="S123" i="5"/>
  <c r="O128" i="5"/>
  <c r="O121" i="5"/>
  <c r="S99" i="11"/>
  <c r="S114" i="11" s="1"/>
  <c r="AO114" i="11" s="1"/>
  <c r="S119" i="11"/>
  <c r="AO119" i="11" s="1"/>
  <c r="S126" i="11"/>
  <c r="AO126" i="11" s="1"/>
  <c r="O118" i="11"/>
  <c r="AK118" i="11" s="1"/>
  <c r="O107" i="11"/>
  <c r="AK107" i="11" s="1"/>
  <c r="Q83" i="11"/>
  <c r="Q78" i="11"/>
  <c r="Q79" i="11" s="1"/>
  <c r="Q80" i="11" s="1"/>
  <c r="Q136" i="11"/>
  <c r="AM136" i="11" s="1"/>
  <c r="Q166" i="11"/>
  <c r="Q167" i="11" s="1"/>
  <c r="Q175" i="11"/>
  <c r="Q176" i="11" s="1"/>
  <c r="Q177" i="11" s="1"/>
  <c r="Q132" i="11"/>
  <c r="AM132" i="11" s="1"/>
  <c r="Q115" i="11"/>
  <c r="AM115" i="11" s="1"/>
  <c r="Q114" i="11"/>
  <c r="AM114" i="11" s="1"/>
  <c r="Q100" i="11"/>
  <c r="AM100" i="11"/>
  <c r="K133" i="5"/>
  <c r="K134" i="5" s="1"/>
  <c r="AH133" i="5"/>
  <c r="AH137" i="5" s="1"/>
  <c r="K141" i="5" s="1"/>
  <c r="K182" i="11"/>
  <c r="AM120" i="5"/>
  <c r="AM127" i="5"/>
  <c r="AM124" i="5"/>
  <c r="AM123" i="5"/>
  <c r="O125" i="11"/>
  <c r="AK125" i="11" s="1"/>
  <c r="O117" i="11"/>
  <c r="AK117" i="11" s="1"/>
  <c r="AM38" i="5"/>
  <c r="AM36" i="5" s="1"/>
  <c r="AM39" i="5" s="1"/>
  <c r="S73" i="5" s="1"/>
  <c r="AM32" i="5"/>
  <c r="S169" i="5" s="1"/>
  <c r="S171" i="5" s="1"/>
  <c r="S173" i="5" s="1"/>
  <c r="AO27" i="5"/>
  <c r="AO34" i="5" s="1"/>
  <c r="Q169" i="5"/>
  <c r="Q171" i="5" s="1"/>
  <c r="Q173" i="5" s="1"/>
  <c r="Q174" i="5" s="1"/>
  <c r="AK33" i="5"/>
  <c r="AK35" i="5" s="1"/>
  <c r="AK36" i="5"/>
  <c r="AK39" i="5" s="1"/>
  <c r="Q73" i="5" s="1"/>
  <c r="O174" i="5"/>
  <c r="Q97" i="5"/>
  <c r="Q128" i="5" s="1"/>
  <c r="AM97" i="5"/>
  <c r="Q69" i="5"/>
  <c r="Q81" i="5" s="1"/>
  <c r="O74" i="5"/>
  <c r="O95" i="5"/>
  <c r="O67" i="5"/>
  <c r="AK95" i="5"/>
  <c r="O60" i="5"/>
  <c r="O85" i="5" s="1"/>
  <c r="AQ24" i="5"/>
  <c r="W63" i="5"/>
  <c r="AQ23" i="5" s="1"/>
  <c r="AQ26" i="5" s="1"/>
  <c r="AQ25" i="5" s="1"/>
  <c r="AQ37" i="5" s="1"/>
  <c r="W58" i="5"/>
  <c r="AQ21" i="5" s="1"/>
  <c r="U96" i="5"/>
  <c r="U68" i="5"/>
  <c r="AQ96" i="5"/>
  <c r="AQ100" i="11"/>
  <c r="U114" i="11"/>
  <c r="AQ114" i="11" s="1"/>
  <c r="U100" i="11"/>
  <c r="S136" i="11"/>
  <c r="AO136" i="11" s="1"/>
  <c r="S166" i="11"/>
  <c r="S167" i="11" s="1"/>
  <c r="S175" i="11"/>
  <c r="S176" i="11" s="1"/>
  <c r="S115" i="11"/>
  <c r="AO115" i="11" s="1"/>
  <c r="S132" i="11"/>
  <c r="AO132" i="11" s="1"/>
  <c r="O110" i="11"/>
  <c r="AK110" i="11" s="1"/>
  <c r="O109" i="11"/>
  <c r="AK109" i="11" s="1"/>
  <c r="O113" i="11"/>
  <c r="AK113" i="11" s="1"/>
  <c r="O112" i="11"/>
  <c r="AK112" i="11" s="1"/>
  <c r="O111" i="11"/>
  <c r="AK111" i="11" s="1"/>
  <c r="O108" i="11"/>
  <c r="AK108" i="11" s="1"/>
  <c r="O116" i="11"/>
  <c r="AK116" i="11" s="1"/>
  <c r="W128" i="11"/>
  <c r="AS128" i="11" s="1"/>
  <c r="W121" i="11"/>
  <c r="AS121" i="11" s="1"/>
  <c r="U132" i="11"/>
  <c r="AQ132" i="11" s="1"/>
  <c r="U115" i="11"/>
  <c r="AQ115" i="11" s="1"/>
  <c r="W174" i="11"/>
  <c r="S83" i="11"/>
  <c r="S78" i="11"/>
  <c r="S79" i="11" s="1"/>
  <c r="S80" i="11" s="1"/>
  <c r="U83" i="11"/>
  <c r="U78" i="11"/>
  <c r="U79" i="11" s="1"/>
  <c r="U80" i="11" s="1"/>
  <c r="AS95" i="11"/>
  <c r="W95" i="11"/>
  <c r="W60" i="11"/>
  <c r="W85" i="11" s="1"/>
  <c r="W74" i="11"/>
  <c r="W67" i="11"/>
  <c r="O131" i="11"/>
  <c r="AK131" i="11" s="1"/>
  <c r="AQ39" i="11"/>
  <c r="W73" i="11" s="1"/>
  <c r="U136" i="11"/>
  <c r="AQ136" i="11" s="1"/>
  <c r="U166" i="11"/>
  <c r="U167" i="11" s="1"/>
  <c r="U175" i="11"/>
  <c r="U176" i="11" s="1"/>
  <c r="W145" i="12"/>
  <c r="W179" i="12" s="1"/>
  <c r="O145" i="12"/>
  <c r="Q139" i="12"/>
  <c r="Q138" i="12"/>
  <c r="S137" i="12"/>
  <c r="S186" i="12" s="1"/>
  <c r="S187" i="12" s="1"/>
  <c r="S188" i="12" s="1"/>
  <c r="S142" i="12"/>
  <c r="S134" i="12"/>
  <c r="S143" i="12"/>
  <c r="W138" i="12"/>
  <c r="W139" i="12"/>
  <c r="O139" i="12"/>
  <c r="O138" i="12"/>
  <c r="U137" i="12"/>
  <c r="U186" i="12" s="1"/>
  <c r="U187" i="12" s="1"/>
  <c r="U188" i="12" s="1"/>
  <c r="U142" i="12"/>
  <c r="U134" i="12"/>
  <c r="U143" i="12"/>
  <c r="Q95" i="8"/>
  <c r="Q126" i="8" s="1"/>
  <c r="AM126" i="8" s="1"/>
  <c r="Q74" i="8"/>
  <c r="AM95" i="8"/>
  <c r="AM99" i="8" s="1"/>
  <c r="Q121" i="8"/>
  <c r="AM121" i="8" s="1"/>
  <c r="Q67" i="8"/>
  <c r="Q77" i="8" s="1"/>
  <c r="Q60" i="8"/>
  <c r="Q85" i="8" s="1"/>
  <c r="AO38" i="8"/>
  <c r="U69" i="8" s="1"/>
  <c r="U81" i="8" s="1"/>
  <c r="AO34" i="8"/>
  <c r="AQ27" i="8"/>
  <c r="AQ32" i="8" s="1"/>
  <c r="AO97" i="8"/>
  <c r="S97" i="8"/>
  <c r="S69" i="8"/>
  <c r="S81" i="8" s="1"/>
  <c r="AM36" i="8"/>
  <c r="AM39" i="8" s="1"/>
  <c r="S73" i="8" s="1"/>
  <c r="U169" i="8"/>
  <c r="U171" i="8" s="1"/>
  <c r="U173" i="8" s="1"/>
  <c r="AO33" i="8"/>
  <c r="AO35" i="8" s="1"/>
  <c r="O70" i="8"/>
  <c r="O77" i="8"/>
  <c r="O98" i="8"/>
  <c r="O126" i="8"/>
  <c r="AK126" i="8" s="1"/>
  <c r="O99" i="8"/>
  <c r="O119" i="8"/>
  <c r="AK119" i="8" s="1"/>
  <c r="K93" i="8"/>
  <c r="K57" i="8" s="1"/>
  <c r="U120" i="8"/>
  <c r="AQ120" i="8" s="1"/>
  <c r="U124" i="8"/>
  <c r="AQ124" i="8" s="1"/>
  <c r="U127" i="8"/>
  <c r="AQ127" i="8" s="1"/>
  <c r="U123" i="8"/>
  <c r="AQ123" i="8" s="1"/>
  <c r="S169" i="8"/>
  <c r="S171" i="8" s="1"/>
  <c r="S173" i="8" s="1"/>
  <c r="AM33" i="8"/>
  <c r="AM35" i="8" s="1"/>
  <c r="AS96" i="8"/>
  <c r="W96" i="8"/>
  <c r="W68" i="8"/>
  <c r="AK99" i="8"/>
  <c r="AK98" i="8"/>
  <c r="Q179" i="12" l="1"/>
  <c r="O179" i="12"/>
  <c r="W180" i="12"/>
  <c r="W181" i="12"/>
  <c r="W182" i="12" s="1"/>
  <c r="W183" i="12" s="1"/>
  <c r="K137" i="5"/>
  <c r="K139" i="5" s="1"/>
  <c r="S100" i="11"/>
  <c r="S101" i="11" s="1"/>
  <c r="S111" i="11" s="1"/>
  <c r="AO111" i="11" s="1"/>
  <c r="AO100" i="11"/>
  <c r="Q121" i="5"/>
  <c r="O119" i="5"/>
  <c r="O126" i="5"/>
  <c r="U127" i="5"/>
  <c r="U120" i="5"/>
  <c r="U124" i="5"/>
  <c r="U123" i="5"/>
  <c r="Q101" i="11"/>
  <c r="Q118" i="11" s="1"/>
  <c r="AM118" i="11" s="1"/>
  <c r="K93" i="11"/>
  <c r="K57" i="11" s="1"/>
  <c r="K142" i="5"/>
  <c r="K143" i="5"/>
  <c r="L146" i="11"/>
  <c r="L167" i="11"/>
  <c r="L177" i="11"/>
  <c r="AO127" i="5"/>
  <c r="AK121" i="5"/>
  <c r="AO124" i="5"/>
  <c r="AO120" i="5"/>
  <c r="AK128" i="5"/>
  <c r="AO123" i="5"/>
  <c r="U177" i="11"/>
  <c r="S177" i="11"/>
  <c r="AO97" i="5"/>
  <c r="S97" i="5"/>
  <c r="S69" i="5"/>
  <c r="S81" i="5" s="1"/>
  <c r="AM33" i="5"/>
  <c r="AM35" i="5" s="1"/>
  <c r="AO32" i="5"/>
  <c r="AO33" i="5" s="1"/>
  <c r="AO35" i="5" s="1"/>
  <c r="AO38" i="5"/>
  <c r="U97" i="5" s="1"/>
  <c r="AQ27" i="5"/>
  <c r="AQ32" i="5" s="1"/>
  <c r="O70" i="5"/>
  <c r="O77" i="5"/>
  <c r="O98" i="5"/>
  <c r="O99" i="5"/>
  <c r="O114" i="5" s="1"/>
  <c r="AK98" i="5"/>
  <c r="AK99" i="5"/>
  <c r="S67" i="5"/>
  <c r="S60" i="5"/>
  <c r="S85" i="5" s="1"/>
  <c r="S95" i="5"/>
  <c r="AO95" i="5"/>
  <c r="S74" i="5"/>
  <c r="S174" i="5"/>
  <c r="Q95" i="5"/>
  <c r="Q67" i="5"/>
  <c r="Q74" i="5"/>
  <c r="Q60" i="5"/>
  <c r="Q85" i="5" s="1"/>
  <c r="AM95" i="5"/>
  <c r="W68" i="5"/>
  <c r="W96" i="5"/>
  <c r="AS96" i="5"/>
  <c r="W70" i="11"/>
  <c r="W77" i="11"/>
  <c r="S118" i="11"/>
  <c r="AO118" i="11" s="1"/>
  <c r="S131" i="11"/>
  <c r="AO131" i="11" s="1"/>
  <c r="W119" i="11"/>
  <c r="AS119" i="11" s="1"/>
  <c r="W98" i="11"/>
  <c r="W99" i="11"/>
  <c r="W126" i="11"/>
  <c r="AS126" i="11" s="1"/>
  <c r="AO129" i="11"/>
  <c r="S113" i="11"/>
  <c r="AO113" i="11" s="1"/>
  <c r="S110" i="11"/>
  <c r="AO110" i="11" s="1"/>
  <c r="S107" i="11"/>
  <c r="S116" i="11"/>
  <c r="AO116" i="11" s="1"/>
  <c r="S112" i="11"/>
  <c r="AO112" i="11" s="1"/>
  <c r="S108" i="11"/>
  <c r="AO108" i="11" s="1"/>
  <c r="S117" i="11"/>
  <c r="AO117" i="11" s="1"/>
  <c r="AS99" i="11"/>
  <c r="AS98" i="11"/>
  <c r="U101" i="11"/>
  <c r="S145" i="12"/>
  <c r="S179" i="12" s="1"/>
  <c r="U145" i="12"/>
  <c r="S139" i="12"/>
  <c r="S138" i="12"/>
  <c r="U139" i="12"/>
  <c r="U138" i="12"/>
  <c r="Q70" i="8"/>
  <c r="Q99" i="8"/>
  <c r="Q114" i="8" s="1"/>
  <c r="AM114" i="8" s="1"/>
  <c r="Q98" i="8"/>
  <c r="Q115" i="8" s="1"/>
  <c r="AM115" i="8" s="1"/>
  <c r="AM98" i="8"/>
  <c r="Q166" i="8" s="1"/>
  <c r="Q119" i="8"/>
  <c r="AM119" i="8" s="1"/>
  <c r="U97" i="8"/>
  <c r="U121" i="8" s="1"/>
  <c r="AQ121" i="8" s="1"/>
  <c r="AQ97" i="8"/>
  <c r="AO36" i="8"/>
  <c r="AO39" i="8" s="1"/>
  <c r="U73" i="8" s="1"/>
  <c r="AQ38" i="8"/>
  <c r="AS97" i="8" s="1"/>
  <c r="AQ34" i="8"/>
  <c r="O83" i="8"/>
  <c r="O78" i="8"/>
  <c r="O79" i="8" s="1"/>
  <c r="O80" i="8" s="1"/>
  <c r="O136" i="8"/>
  <c r="AK136" i="8" s="1"/>
  <c r="O166" i="8"/>
  <c r="O175" i="8"/>
  <c r="O176" i="8" s="1"/>
  <c r="AO95" i="8"/>
  <c r="S95" i="8"/>
  <c r="S60" i="8"/>
  <c r="S85" i="8" s="1"/>
  <c r="S74" i="8"/>
  <c r="S67" i="8"/>
  <c r="O114" i="8"/>
  <c r="AK114" i="8" s="1"/>
  <c r="O100" i="8"/>
  <c r="AK100" i="8"/>
  <c r="U174" i="8"/>
  <c r="S121" i="8"/>
  <c r="AO121" i="8" s="1"/>
  <c r="S128" i="8"/>
  <c r="AO128" i="8" s="1"/>
  <c r="Q136" i="8"/>
  <c r="AM136" i="8" s="1"/>
  <c r="Q175" i="8"/>
  <c r="Q176" i="8" s="1"/>
  <c r="S174" i="8"/>
  <c r="O132" i="8"/>
  <c r="AK132" i="8" s="1"/>
  <c r="O115" i="8"/>
  <c r="AK115" i="8" s="1"/>
  <c r="W127" i="8"/>
  <c r="AS127" i="8" s="1"/>
  <c r="W124" i="8"/>
  <c r="AS124" i="8" s="1"/>
  <c r="W120" i="8"/>
  <c r="AS120" i="8" s="1"/>
  <c r="W123" i="8"/>
  <c r="AS123" i="8" s="1"/>
  <c r="W169" i="8"/>
  <c r="W171" i="8" s="1"/>
  <c r="W173" i="8" s="1"/>
  <c r="AQ33" i="8"/>
  <c r="AQ35" i="8" s="1"/>
  <c r="Q83" i="8"/>
  <c r="Q78" i="8"/>
  <c r="Q79" i="8" s="1"/>
  <c r="Q80" i="8" s="1"/>
  <c r="U179" i="12" l="1"/>
  <c r="S181" i="12"/>
  <c r="S182" i="12" s="1"/>
  <c r="S183" i="12" s="1"/>
  <c r="S180" i="12"/>
  <c r="O180" i="12"/>
  <c r="O181" i="12"/>
  <c r="Q180" i="12"/>
  <c r="Q181" i="12"/>
  <c r="K138" i="5"/>
  <c r="K145" i="5"/>
  <c r="S109" i="11"/>
  <c r="AO109" i="11" s="1"/>
  <c r="S125" i="11"/>
  <c r="AO125" i="11" s="1"/>
  <c r="Q100" i="8"/>
  <c r="Q101" i="8" s="1"/>
  <c r="Q116" i="8" s="1"/>
  <c r="AM116" i="8" s="1"/>
  <c r="Q132" i="8"/>
  <c r="AM132" i="8" s="1"/>
  <c r="W93" i="12"/>
  <c r="W57" i="12" s="1"/>
  <c r="U128" i="8"/>
  <c r="AQ128" i="8" s="1"/>
  <c r="Q126" i="5"/>
  <c r="Q119" i="5"/>
  <c r="U121" i="5"/>
  <c r="U128" i="5"/>
  <c r="W127" i="5"/>
  <c r="W120" i="5"/>
  <c r="W124" i="5"/>
  <c r="W123" i="5"/>
  <c r="O132" i="5"/>
  <c r="O115" i="5"/>
  <c r="S119" i="5"/>
  <c r="S126" i="5"/>
  <c r="S121" i="5"/>
  <c r="S128" i="5"/>
  <c r="AO128" i="5" s="1"/>
  <c r="Q125" i="11"/>
  <c r="AM125" i="11" s="1"/>
  <c r="Q131" i="11"/>
  <c r="AM131" i="11" s="1"/>
  <c r="AM129" i="11"/>
  <c r="Q111" i="11"/>
  <c r="AM111" i="11" s="1"/>
  <c r="Q109" i="11"/>
  <c r="AM109" i="11" s="1"/>
  <c r="Q113" i="11"/>
  <c r="AM113" i="11" s="1"/>
  <c r="Q108" i="11"/>
  <c r="AM108" i="11" s="1"/>
  <c r="Q110" i="11"/>
  <c r="AM110" i="11" s="1"/>
  <c r="Q117" i="11"/>
  <c r="AM117" i="11" s="1"/>
  <c r="Q107" i="11"/>
  <c r="Q112" i="11"/>
  <c r="AM112" i="11" s="1"/>
  <c r="Q116" i="11"/>
  <c r="AM116" i="11" s="1"/>
  <c r="AQ127" i="5"/>
  <c r="AQ120" i="5"/>
  <c r="AK126" i="5"/>
  <c r="AQ124" i="5"/>
  <c r="AQ123" i="5"/>
  <c r="AM121" i="5"/>
  <c r="AK119" i="5"/>
  <c r="AM128" i="5"/>
  <c r="U131" i="11"/>
  <c r="AQ131" i="11" s="1"/>
  <c r="AQ95" i="8"/>
  <c r="AQ99" i="8" s="1"/>
  <c r="AQ34" i="5"/>
  <c r="AQ97" i="5"/>
  <c r="U169" i="5"/>
  <c r="U171" i="5" s="1"/>
  <c r="U173" i="5" s="1"/>
  <c r="U174" i="5" s="1"/>
  <c r="AQ38" i="5"/>
  <c r="AS97" i="5" s="1"/>
  <c r="U69" i="5"/>
  <c r="U81" i="5" s="1"/>
  <c r="AO36" i="5"/>
  <c r="U67" i="5" s="1"/>
  <c r="AQ33" i="5"/>
  <c r="AQ35" i="5" s="1"/>
  <c r="W169" i="5"/>
  <c r="W171" i="5" s="1"/>
  <c r="W173" i="5" s="1"/>
  <c r="W174" i="5" s="1"/>
  <c r="S70" i="5"/>
  <c r="S77" i="5"/>
  <c r="O136" i="5"/>
  <c r="AK136" i="5" s="1"/>
  <c r="O166" i="5"/>
  <c r="O167" i="5" s="1"/>
  <c r="O175" i="5"/>
  <c r="O176" i="5" s="1"/>
  <c r="O177" i="5" s="1"/>
  <c r="O100" i="5"/>
  <c r="AK100" i="5"/>
  <c r="O83" i="5"/>
  <c r="O78" i="5"/>
  <c r="O79" i="5" s="1"/>
  <c r="O80" i="5" s="1"/>
  <c r="AM98" i="5"/>
  <c r="AM99" i="5"/>
  <c r="S98" i="5"/>
  <c r="S99" i="5"/>
  <c r="S114" i="5" s="1"/>
  <c r="Q70" i="5"/>
  <c r="Q77" i="5"/>
  <c r="Q99" i="5"/>
  <c r="Q114" i="5" s="1"/>
  <c r="Q98" i="5"/>
  <c r="AO98" i="5"/>
  <c r="AO99" i="5"/>
  <c r="W78" i="11"/>
  <c r="W79" i="11" s="1"/>
  <c r="W80" i="11" s="1"/>
  <c r="W83" i="11"/>
  <c r="W100" i="11"/>
  <c r="W101" i="11" s="1"/>
  <c r="W114" i="11"/>
  <c r="AS114" i="11" s="1"/>
  <c r="AS100" i="11"/>
  <c r="S133" i="11"/>
  <c r="S137" i="11" s="1"/>
  <c r="S186" i="11" s="1"/>
  <c r="AO107" i="11"/>
  <c r="W132" i="11"/>
  <c r="AS132" i="11" s="1"/>
  <c r="W115" i="11"/>
  <c r="AS115" i="11" s="1"/>
  <c r="U112" i="11"/>
  <c r="AQ112" i="11" s="1"/>
  <c r="U111" i="11"/>
  <c r="AQ111" i="11" s="1"/>
  <c r="U108" i="11"/>
  <c r="AQ108" i="11" s="1"/>
  <c r="U116" i="11"/>
  <c r="AQ116" i="11" s="1"/>
  <c r="U107" i="11"/>
  <c r="U113" i="11"/>
  <c r="AQ113" i="11" s="1"/>
  <c r="U109" i="11"/>
  <c r="AQ109" i="11" s="1"/>
  <c r="U110" i="11"/>
  <c r="AQ110" i="11" s="1"/>
  <c r="AQ129" i="11"/>
  <c r="U117" i="11"/>
  <c r="AQ117" i="11" s="1"/>
  <c r="U118" i="11"/>
  <c r="AQ118" i="11" s="1"/>
  <c r="W136" i="11"/>
  <c r="AS136" i="11" s="1"/>
  <c r="W166" i="11"/>
  <c r="W167" i="11" s="1"/>
  <c r="W175" i="11"/>
  <c r="W176" i="11" s="1"/>
  <c r="U125" i="11"/>
  <c r="AQ125" i="11" s="1"/>
  <c r="AM100" i="8"/>
  <c r="U60" i="8"/>
  <c r="U85" i="8" s="1"/>
  <c r="U67" i="8"/>
  <c r="U70" i="8" s="1"/>
  <c r="U74" i="8"/>
  <c r="U95" i="8"/>
  <c r="U98" i="8" s="1"/>
  <c r="W69" i="8"/>
  <c r="W81" i="8" s="1"/>
  <c r="W97" i="8"/>
  <c r="W121" i="8" s="1"/>
  <c r="AS121" i="8" s="1"/>
  <c r="AQ36" i="8"/>
  <c r="AQ39" i="8" s="1"/>
  <c r="W73" i="8" s="1"/>
  <c r="Q108" i="8"/>
  <c r="AM108" i="8" s="1"/>
  <c r="S70" i="8"/>
  <c r="S77" i="8"/>
  <c r="W174" i="8"/>
  <c r="AO98" i="8"/>
  <c r="AO99" i="8"/>
  <c r="Q131" i="8"/>
  <c r="AM131" i="8" s="1"/>
  <c r="S126" i="8"/>
  <c r="AO126" i="8" s="1"/>
  <c r="S98" i="8"/>
  <c r="S119" i="8"/>
  <c r="AO119" i="8" s="1"/>
  <c r="S99" i="8"/>
  <c r="O101" i="8"/>
  <c r="O118" i="8" s="1"/>
  <c r="AK118" i="8" s="1"/>
  <c r="Q182" i="12" l="1"/>
  <c r="Q183" i="12" s="1"/>
  <c r="Q93" i="12"/>
  <c r="Q57" i="12" s="1"/>
  <c r="O182" i="12"/>
  <c r="O183" i="12" s="1"/>
  <c r="O93" i="12"/>
  <c r="O57" i="12" s="1"/>
  <c r="U180" i="12"/>
  <c r="U181" i="12"/>
  <c r="AO133" i="11"/>
  <c r="AO137" i="11" s="1"/>
  <c r="S141" i="11" s="1"/>
  <c r="Q113" i="8"/>
  <c r="AM113" i="8" s="1"/>
  <c r="Q110" i="8"/>
  <c r="AM110" i="8" s="1"/>
  <c r="Q129" i="8"/>
  <c r="AM129" i="8" s="1"/>
  <c r="Q125" i="8"/>
  <c r="AM125" i="8" s="1"/>
  <c r="Q117" i="8"/>
  <c r="AM117" i="8" s="1"/>
  <c r="Q107" i="8"/>
  <c r="Q109" i="8"/>
  <c r="AM109" i="8" s="1"/>
  <c r="Q112" i="8"/>
  <c r="AM112" i="8" s="1"/>
  <c r="Q118" i="8"/>
  <c r="AM118" i="8" s="1"/>
  <c r="Q111" i="8"/>
  <c r="AM111" i="8" s="1"/>
  <c r="S93" i="12"/>
  <c r="S57" i="12" s="1"/>
  <c r="AQ98" i="8"/>
  <c r="U175" i="8" s="1"/>
  <c r="U176" i="8" s="1"/>
  <c r="Q115" i="5"/>
  <c r="Q132" i="5"/>
  <c r="O101" i="5"/>
  <c r="O131" i="5" s="1"/>
  <c r="S132" i="5"/>
  <c r="S115" i="5"/>
  <c r="K146" i="5"/>
  <c r="S184" i="5" s="1"/>
  <c r="H179" i="5"/>
  <c r="AM107" i="11"/>
  <c r="AM133" i="11" s="1"/>
  <c r="AM137" i="11" s="1"/>
  <c r="Q141" i="11" s="1"/>
  <c r="Q133" i="11"/>
  <c r="Q137" i="11" s="1"/>
  <c r="Q186" i="11" s="1"/>
  <c r="AK132" i="5"/>
  <c r="AO121" i="5"/>
  <c r="AK115" i="5"/>
  <c r="AM119" i="5"/>
  <c r="AK114" i="5"/>
  <c r="AM126" i="5"/>
  <c r="AO119" i="5"/>
  <c r="AQ128" i="5"/>
  <c r="AS127" i="5"/>
  <c r="AO126" i="5"/>
  <c r="AS120" i="5"/>
  <c r="AS123" i="5"/>
  <c r="AQ121" i="5"/>
  <c r="AS124" i="5"/>
  <c r="W177" i="11"/>
  <c r="W69" i="5"/>
  <c r="W81" i="5" s="1"/>
  <c r="W97" i="5"/>
  <c r="AQ36" i="5"/>
  <c r="AQ39" i="5" s="1"/>
  <c r="W73" i="5" s="1"/>
  <c r="U74" i="5"/>
  <c r="U60" i="5"/>
  <c r="U85" i="5" s="1"/>
  <c r="AQ95" i="5"/>
  <c r="AQ99" i="5" s="1"/>
  <c r="AO39" i="5"/>
  <c r="U73" i="5" s="1"/>
  <c r="U95" i="5"/>
  <c r="U70" i="5"/>
  <c r="U77" i="5"/>
  <c r="Q100" i="5"/>
  <c r="AM100" i="5"/>
  <c r="S83" i="5"/>
  <c r="S78" i="5"/>
  <c r="S79" i="5" s="1"/>
  <c r="S80" i="5" s="1"/>
  <c r="Q78" i="5"/>
  <c r="Q79" i="5" s="1"/>
  <c r="Q80" i="5" s="1"/>
  <c r="Q83" i="5"/>
  <c r="S136" i="5"/>
  <c r="AO136" i="5" s="1"/>
  <c r="S166" i="5"/>
  <c r="S167" i="5" s="1"/>
  <c r="S175" i="5"/>
  <c r="S176" i="5" s="1"/>
  <c r="S177" i="5" s="1"/>
  <c r="Q175" i="5"/>
  <c r="Q176" i="5" s="1"/>
  <c r="Q177" i="5" s="1"/>
  <c r="Q136" i="5"/>
  <c r="AM136" i="5" s="1"/>
  <c r="Q166" i="5"/>
  <c r="Q167" i="5" s="1"/>
  <c r="S100" i="5"/>
  <c r="AO100" i="5"/>
  <c r="AQ107" i="11"/>
  <c r="AQ133" i="11" s="1"/>
  <c r="U133" i="11"/>
  <c r="U137" i="11" s="1"/>
  <c r="U186" i="11" s="1"/>
  <c r="S143" i="11"/>
  <c r="S142" i="11"/>
  <c r="S134" i="11"/>
  <c r="W110" i="11"/>
  <c r="AS110" i="11" s="1"/>
  <c r="W109" i="11"/>
  <c r="AS109" i="11" s="1"/>
  <c r="AS129" i="11"/>
  <c r="W113" i="11"/>
  <c r="AS113" i="11" s="1"/>
  <c r="W116" i="11"/>
  <c r="AS116" i="11" s="1"/>
  <c r="W112" i="11"/>
  <c r="AS112" i="11" s="1"/>
  <c r="W108" i="11"/>
  <c r="AS108" i="11" s="1"/>
  <c r="W111" i="11"/>
  <c r="AS111" i="11" s="1"/>
  <c r="W107" i="11"/>
  <c r="W117" i="11"/>
  <c r="AS117" i="11" s="1"/>
  <c r="W118" i="11"/>
  <c r="AS118" i="11" s="1"/>
  <c r="W125" i="11"/>
  <c r="AS125" i="11" s="1"/>
  <c r="W131" i="11"/>
  <c r="AS131" i="11" s="1"/>
  <c r="W95" i="8"/>
  <c r="W99" i="8" s="1"/>
  <c r="AS95" i="8"/>
  <c r="AS98" i="8" s="1"/>
  <c r="U77" i="8"/>
  <c r="U78" i="8" s="1"/>
  <c r="U79" i="8" s="1"/>
  <c r="U80" i="8" s="1"/>
  <c r="U99" i="8"/>
  <c r="U100" i="8" s="1"/>
  <c r="U101" i="8" s="1"/>
  <c r="U126" i="8"/>
  <c r="AQ126" i="8" s="1"/>
  <c r="U122" i="8"/>
  <c r="AQ122" i="8" s="1"/>
  <c r="U119" i="8"/>
  <c r="AQ119" i="8" s="1"/>
  <c r="W128" i="8"/>
  <c r="AS128" i="8" s="1"/>
  <c r="W60" i="8"/>
  <c r="W85" i="8" s="1"/>
  <c r="W74" i="8"/>
  <c r="W67" i="8"/>
  <c r="W70" i="8" s="1"/>
  <c r="O131" i="8"/>
  <c r="AK131" i="8" s="1"/>
  <c r="O125" i="8"/>
  <c r="AK125" i="8" s="1"/>
  <c r="O109" i="8"/>
  <c r="AK109" i="8" s="1"/>
  <c r="O108" i="8"/>
  <c r="AK108" i="8" s="1"/>
  <c r="O129" i="8"/>
  <c r="AK129" i="8" s="1"/>
  <c r="O112" i="8"/>
  <c r="AK112" i="8" s="1"/>
  <c r="O116" i="8"/>
  <c r="AK116" i="8" s="1"/>
  <c r="O111" i="8"/>
  <c r="AK111" i="8" s="1"/>
  <c r="O113" i="8"/>
  <c r="AK113" i="8" s="1"/>
  <c r="O110" i="8"/>
  <c r="AK110" i="8" s="1"/>
  <c r="O107" i="8"/>
  <c r="O117" i="8"/>
  <c r="AK117" i="8" s="1"/>
  <c r="S114" i="8"/>
  <c r="AO114" i="8" s="1"/>
  <c r="AO100" i="8"/>
  <c r="S100" i="8"/>
  <c r="S101" i="8" s="1"/>
  <c r="U136" i="8"/>
  <c r="AQ136" i="8" s="1"/>
  <c r="U166" i="8"/>
  <c r="S132" i="8"/>
  <c r="AO132" i="8" s="1"/>
  <c r="S115" i="8"/>
  <c r="AO115" i="8" s="1"/>
  <c r="U115" i="8"/>
  <c r="AQ115" i="8" s="1"/>
  <c r="U132" i="8"/>
  <c r="AQ132" i="8" s="1"/>
  <c r="Q133" i="8"/>
  <c r="AM107" i="8"/>
  <c r="AM133" i="8" s="1"/>
  <c r="AM137" i="8" s="1"/>
  <c r="Q141" i="8" s="1"/>
  <c r="S78" i="8"/>
  <c r="S79" i="8" s="1"/>
  <c r="S80" i="8" s="1"/>
  <c r="S83" i="8"/>
  <c r="S136" i="8"/>
  <c r="AO136" i="8" s="1"/>
  <c r="S166" i="8"/>
  <c r="S175" i="8"/>
  <c r="S176" i="8" s="1"/>
  <c r="U182" i="12" l="1"/>
  <c r="U183" i="12" s="1"/>
  <c r="U93" i="12"/>
  <c r="U57" i="12" s="1"/>
  <c r="O118" i="5"/>
  <c r="AK118" i="5" s="1"/>
  <c r="O125" i="5"/>
  <c r="AK125" i="5" s="1"/>
  <c r="U99" i="5"/>
  <c r="U114" i="5" s="1"/>
  <c r="U126" i="5"/>
  <c r="U122" i="5"/>
  <c r="U119" i="5"/>
  <c r="AK129" i="5"/>
  <c r="O113" i="5"/>
  <c r="AK113" i="5" s="1"/>
  <c r="O109" i="5"/>
  <c r="AK109" i="5" s="1"/>
  <c r="O107" i="5"/>
  <c r="AK107" i="5" s="1"/>
  <c r="O117" i="5"/>
  <c r="AK117" i="5" s="1"/>
  <c r="O112" i="5"/>
  <c r="AK112" i="5" s="1"/>
  <c r="O108" i="5"/>
  <c r="AK108" i="5" s="1"/>
  <c r="O110" i="5"/>
  <c r="AK110" i="5" s="1"/>
  <c r="O116" i="5"/>
  <c r="AK116" i="5" s="1"/>
  <c r="O111" i="5"/>
  <c r="AK111" i="5" s="1"/>
  <c r="Q101" i="5"/>
  <c r="W128" i="5"/>
  <c r="W121" i="5"/>
  <c r="AS121" i="5" s="1"/>
  <c r="H180" i="5"/>
  <c r="K182" i="5"/>
  <c r="L146" i="5" s="1"/>
  <c r="Q142" i="11"/>
  <c r="Q134" i="11"/>
  <c r="Q143" i="11"/>
  <c r="AQ137" i="11"/>
  <c r="U141" i="11" s="1"/>
  <c r="AO114" i="5"/>
  <c r="AO115" i="5"/>
  <c r="AO132" i="5"/>
  <c r="AK131" i="5"/>
  <c r="AM132" i="5"/>
  <c r="AM115" i="5"/>
  <c r="AM114" i="5"/>
  <c r="W95" i="5"/>
  <c r="S145" i="11"/>
  <c r="W74" i="5"/>
  <c r="W67" i="5"/>
  <c r="W77" i="5" s="1"/>
  <c r="U98" i="5"/>
  <c r="AS95" i="5"/>
  <c r="AS98" i="5" s="1"/>
  <c r="W60" i="5"/>
  <c r="W85" i="5" s="1"/>
  <c r="AQ98" i="5"/>
  <c r="U166" i="5" s="1"/>
  <c r="U167" i="5" s="1"/>
  <c r="S101" i="5"/>
  <c r="S125" i="5" s="1"/>
  <c r="U78" i="5"/>
  <c r="U79" i="5" s="1"/>
  <c r="U80" i="5" s="1"/>
  <c r="U83" i="5"/>
  <c r="S138" i="11"/>
  <c r="S139" i="11"/>
  <c r="U143" i="11"/>
  <c r="U142" i="11"/>
  <c r="U134" i="11"/>
  <c r="W133" i="11"/>
  <c r="W137" i="11" s="1"/>
  <c r="W186" i="11" s="1"/>
  <c r="AS107" i="11"/>
  <c r="AS133" i="11" s="1"/>
  <c r="W98" i="8"/>
  <c r="W115" i="8" s="1"/>
  <c r="AS115" i="8" s="1"/>
  <c r="W119" i="8"/>
  <c r="AS119" i="8" s="1"/>
  <c r="U83" i="8"/>
  <c r="W126" i="8"/>
  <c r="AS126" i="8" s="1"/>
  <c r="AS99" i="8"/>
  <c r="U114" i="8"/>
  <c r="AQ114" i="8" s="1"/>
  <c r="AQ100" i="8"/>
  <c r="W77" i="8"/>
  <c r="W83" i="8" s="1"/>
  <c r="U111" i="8"/>
  <c r="AQ111" i="8" s="1"/>
  <c r="U110" i="8"/>
  <c r="AQ110" i="8" s="1"/>
  <c r="U108" i="8"/>
  <c r="AQ108" i="8" s="1"/>
  <c r="U129" i="8"/>
  <c r="AQ129" i="8" s="1"/>
  <c r="U112" i="8"/>
  <c r="AQ112" i="8" s="1"/>
  <c r="U109" i="8"/>
  <c r="AQ109" i="8" s="1"/>
  <c r="U113" i="8"/>
  <c r="AQ113" i="8" s="1"/>
  <c r="U107" i="8"/>
  <c r="U116" i="8"/>
  <c r="AQ116" i="8" s="1"/>
  <c r="U117" i="8"/>
  <c r="AQ117" i="8" s="1"/>
  <c r="W100" i="8"/>
  <c r="W101" i="8" s="1"/>
  <c r="W114" i="8"/>
  <c r="AS114" i="8" s="1"/>
  <c r="AS100" i="8"/>
  <c r="S131" i="8"/>
  <c r="AO131" i="8" s="1"/>
  <c r="S118" i="8"/>
  <c r="AO118" i="8" s="1"/>
  <c r="S125" i="8"/>
  <c r="AO125" i="8" s="1"/>
  <c r="S113" i="8"/>
  <c r="AO113" i="8" s="1"/>
  <c r="S112" i="8"/>
  <c r="AO112" i="8" s="1"/>
  <c r="S110" i="8"/>
  <c r="AO110" i="8" s="1"/>
  <c r="S108" i="8"/>
  <c r="AO108" i="8" s="1"/>
  <c r="S109" i="8"/>
  <c r="AO109" i="8" s="1"/>
  <c r="S111" i="8"/>
  <c r="AO111" i="8" s="1"/>
  <c r="S116" i="8"/>
  <c r="AO116" i="8" s="1"/>
  <c r="S107" i="8"/>
  <c r="S129" i="8"/>
  <c r="AO129" i="8" s="1"/>
  <c r="S117" i="8"/>
  <c r="AO117" i="8" s="1"/>
  <c r="U131" i="8"/>
  <c r="AQ131" i="8" s="1"/>
  <c r="U125" i="8"/>
  <c r="AQ125" i="8" s="1"/>
  <c r="U118" i="8"/>
  <c r="AQ118" i="8" s="1"/>
  <c r="Q143" i="8"/>
  <c r="Q137" i="8"/>
  <c r="Q142" i="8"/>
  <c r="Q134" i="8"/>
  <c r="W132" i="8"/>
  <c r="AS132" i="8" s="1"/>
  <c r="O133" i="8"/>
  <c r="AK107" i="8"/>
  <c r="AK133" i="8" s="1"/>
  <c r="AK137" i="8" s="1"/>
  <c r="O141" i="8" s="1"/>
  <c r="W136" i="8"/>
  <c r="AS136" i="8" s="1"/>
  <c r="W166" i="8"/>
  <c r="W175" i="8"/>
  <c r="W176" i="8" s="1"/>
  <c r="AQ100" i="5" l="1"/>
  <c r="K93" i="5"/>
  <c r="L177" i="5"/>
  <c r="L167" i="5"/>
  <c r="U100" i="5"/>
  <c r="U101" i="5" s="1"/>
  <c r="AM129" i="5"/>
  <c r="Q113" i="5"/>
  <c r="AM113" i="5" s="1"/>
  <c r="Q111" i="5"/>
  <c r="AM111" i="5" s="1"/>
  <c r="Q107" i="5"/>
  <c r="AM107" i="5" s="1"/>
  <c r="Q110" i="5"/>
  <c r="AM110" i="5" s="1"/>
  <c r="Q117" i="5"/>
  <c r="AM117" i="5" s="1"/>
  <c r="Q112" i="5"/>
  <c r="AM112" i="5" s="1"/>
  <c r="Q108" i="5"/>
  <c r="AM108" i="5" s="1"/>
  <c r="Q109" i="5"/>
  <c r="AM109" i="5" s="1"/>
  <c r="Q116" i="5"/>
  <c r="AM116" i="5" s="1"/>
  <c r="O133" i="5"/>
  <c r="O137" i="5" s="1"/>
  <c r="O186" i="5" s="1"/>
  <c r="U132" i="5"/>
  <c r="U115" i="5"/>
  <c r="AQ115" i="5" s="1"/>
  <c r="Q131" i="5"/>
  <c r="AM131" i="5" s="1"/>
  <c r="S131" i="5"/>
  <c r="Q118" i="5"/>
  <c r="AM118" i="5" s="1"/>
  <c r="S118" i="5"/>
  <c r="S110" i="5"/>
  <c r="S107" i="5"/>
  <c r="S108" i="5"/>
  <c r="S117" i="5"/>
  <c r="S116" i="5"/>
  <c r="S111" i="5"/>
  <c r="S113" i="5"/>
  <c r="S109" i="5"/>
  <c r="S112" i="5"/>
  <c r="W99" i="5"/>
  <c r="W114" i="5" s="1"/>
  <c r="W119" i="5"/>
  <c r="W126" i="5"/>
  <c r="Q125" i="5"/>
  <c r="AM125" i="5" s="1"/>
  <c r="Q145" i="11"/>
  <c r="Q179" i="11" s="1"/>
  <c r="Q139" i="11"/>
  <c r="Q138" i="11"/>
  <c r="AS137" i="11"/>
  <c r="W141" i="11" s="1"/>
  <c r="AQ122" i="5"/>
  <c r="AS128" i="5"/>
  <c r="AK133" i="5"/>
  <c r="AQ119" i="5"/>
  <c r="AQ114" i="5"/>
  <c r="AQ126" i="5"/>
  <c r="S179" i="11"/>
  <c r="S180" i="11" s="1"/>
  <c r="S146" i="11"/>
  <c r="W98" i="5"/>
  <c r="W70" i="5"/>
  <c r="U145" i="11"/>
  <c r="AS99" i="5"/>
  <c r="U175" i="5"/>
  <c r="U176" i="5" s="1"/>
  <c r="U177" i="5" s="1"/>
  <c r="U136" i="5"/>
  <c r="AQ136" i="5" s="1"/>
  <c r="W175" i="5"/>
  <c r="W176" i="5" s="1"/>
  <c r="W177" i="5" s="1"/>
  <c r="W136" i="5"/>
  <c r="AS136" i="5" s="1"/>
  <c r="W166" i="5"/>
  <c r="W167" i="5" s="1"/>
  <c r="W83" i="5"/>
  <c r="W78" i="5"/>
  <c r="W79" i="5" s="1"/>
  <c r="W80" i="5" s="1"/>
  <c r="U138" i="11"/>
  <c r="U139" i="11"/>
  <c r="W142" i="11"/>
  <c r="W134" i="11"/>
  <c r="W143" i="11"/>
  <c r="W78" i="8"/>
  <c r="W79" i="8" s="1"/>
  <c r="W80" i="8" s="1"/>
  <c r="Q145" i="8"/>
  <c r="Q179" i="8" s="1"/>
  <c r="W109" i="8"/>
  <c r="AS109" i="8" s="1"/>
  <c r="W108" i="8"/>
  <c r="AS108" i="8" s="1"/>
  <c r="W129" i="8"/>
  <c r="AS129" i="8" s="1"/>
  <c r="W112" i="8"/>
  <c r="AS112" i="8" s="1"/>
  <c r="W110" i="8"/>
  <c r="AS110" i="8" s="1"/>
  <c r="W107" i="8"/>
  <c r="W111" i="8"/>
  <c r="AS111" i="8" s="1"/>
  <c r="W113" i="8"/>
  <c r="AS113" i="8" s="1"/>
  <c r="W116" i="8"/>
  <c r="AS116" i="8" s="1"/>
  <c r="W117" i="8"/>
  <c r="AS117" i="8" s="1"/>
  <c r="U133" i="8"/>
  <c r="AQ107" i="8"/>
  <c r="AQ133" i="8" s="1"/>
  <c r="AQ137" i="8" s="1"/>
  <c r="U141" i="8" s="1"/>
  <c r="Q138" i="8"/>
  <c r="Q139" i="8"/>
  <c r="S133" i="8"/>
  <c r="AO107" i="8"/>
  <c r="AO133" i="8" s="1"/>
  <c r="AO137" i="8" s="1"/>
  <c r="S141" i="8" s="1"/>
  <c r="W118" i="8"/>
  <c r="AS118" i="8" s="1"/>
  <c r="W131" i="8"/>
  <c r="AS131" i="8" s="1"/>
  <c r="W125" i="8"/>
  <c r="AS125" i="8" s="1"/>
  <c r="O142" i="8"/>
  <c r="O134" i="8"/>
  <c r="O143" i="8"/>
  <c r="O137" i="8"/>
  <c r="W100" i="5" l="1"/>
  <c r="W101" i="5" s="1"/>
  <c r="W118" i="5" s="1"/>
  <c r="Q181" i="8"/>
  <c r="Q182" i="8" s="1"/>
  <c r="Q183" i="8" s="1"/>
  <c r="Q180" i="8"/>
  <c r="U118" i="5"/>
  <c r="AQ118" i="5" s="1"/>
  <c r="U131" i="5"/>
  <c r="AQ131" i="5" s="1"/>
  <c r="O143" i="5"/>
  <c r="AS100" i="5"/>
  <c r="O142" i="5"/>
  <c r="O134" i="5"/>
  <c r="W132" i="5"/>
  <c r="AS132" i="5" s="1"/>
  <c r="W115" i="5"/>
  <c r="AS115" i="5" s="1"/>
  <c r="U125" i="5"/>
  <c r="AQ125" i="5" s="1"/>
  <c r="Q133" i="5"/>
  <c r="AK137" i="5"/>
  <c r="O141" i="5" s="1"/>
  <c r="U112" i="5"/>
  <c r="AQ112" i="5" s="1"/>
  <c r="U113" i="5"/>
  <c r="AQ113" i="5" s="1"/>
  <c r="U116" i="5"/>
  <c r="AQ116" i="5" s="1"/>
  <c r="U111" i="5"/>
  <c r="AQ111" i="5" s="1"/>
  <c r="U107" i="5"/>
  <c r="AQ107" i="5" s="1"/>
  <c r="AQ129" i="5"/>
  <c r="U117" i="5"/>
  <c r="AQ117" i="5" s="1"/>
  <c r="U108" i="5"/>
  <c r="AQ108" i="5" s="1"/>
  <c r="U109" i="5"/>
  <c r="AQ109" i="5" s="1"/>
  <c r="U110" i="5"/>
  <c r="AQ110" i="5" s="1"/>
  <c r="Q146" i="11"/>
  <c r="Q181" i="11"/>
  <c r="Q180" i="11"/>
  <c r="AS114" i="5"/>
  <c r="AO113" i="5"/>
  <c r="AM133" i="5"/>
  <c r="AS119" i="5"/>
  <c r="AO125" i="5"/>
  <c r="AO112" i="5"/>
  <c r="AO118" i="5"/>
  <c r="AO108" i="5"/>
  <c r="AS126" i="5"/>
  <c r="AO131" i="5"/>
  <c r="AO111" i="5"/>
  <c r="AO117" i="5"/>
  <c r="AO109" i="5"/>
  <c r="AO116" i="5"/>
  <c r="AQ132" i="5"/>
  <c r="AO110" i="5"/>
  <c r="AO129" i="5"/>
  <c r="U179" i="11"/>
  <c r="U180" i="11" s="1"/>
  <c r="U146" i="11"/>
  <c r="S181" i="11"/>
  <c r="S182" i="11" s="1"/>
  <c r="W145" i="11"/>
  <c r="AO107" i="5"/>
  <c r="S133" i="5"/>
  <c r="S137" i="5" s="1"/>
  <c r="S186" i="5" s="1"/>
  <c r="O139" i="5"/>
  <c r="O138" i="5"/>
  <c r="W139" i="11"/>
  <c r="W138" i="11"/>
  <c r="O145" i="8"/>
  <c r="O179" i="8" s="1"/>
  <c r="W133" i="8"/>
  <c r="AS107" i="8"/>
  <c r="AS133" i="8" s="1"/>
  <c r="AS137" i="8" s="1"/>
  <c r="W141" i="8" s="1"/>
  <c r="U137" i="8"/>
  <c r="U142" i="8"/>
  <c r="U134" i="8"/>
  <c r="U143" i="8"/>
  <c r="O139" i="8"/>
  <c r="O138" i="8"/>
  <c r="S143" i="8"/>
  <c r="S137" i="8"/>
  <c r="S142" i="8"/>
  <c r="S134" i="8"/>
  <c r="Q143" i="5" l="1"/>
  <c r="Q137" i="5"/>
  <c r="Q186" i="5" s="1"/>
  <c r="Q93" i="8"/>
  <c r="Q57" i="8" s="1"/>
  <c r="O181" i="8"/>
  <c r="O182" i="8" s="1"/>
  <c r="O183" i="8" s="1"/>
  <c r="O180" i="8"/>
  <c r="O145" i="5"/>
  <c r="O146" i="5" s="1"/>
  <c r="W125" i="5"/>
  <c r="U133" i="5"/>
  <c r="U137" i="5" s="1"/>
  <c r="U186" i="5" s="1"/>
  <c r="AM137" i="5"/>
  <c r="Q141" i="5" s="1"/>
  <c r="Q134" i="5"/>
  <c r="W116" i="5"/>
  <c r="W111" i="5"/>
  <c r="W107" i="5"/>
  <c r="W113" i="5"/>
  <c r="W117" i="5"/>
  <c r="W112" i="5"/>
  <c r="W110" i="5"/>
  <c r="W108" i="5"/>
  <c r="W109" i="5"/>
  <c r="Q142" i="5"/>
  <c r="W131" i="5"/>
  <c r="Q182" i="11"/>
  <c r="R167" i="11"/>
  <c r="R177" i="11"/>
  <c r="R146" i="11"/>
  <c r="S93" i="11"/>
  <c r="S57" i="11" s="1"/>
  <c r="S183" i="11"/>
  <c r="AQ133" i="5"/>
  <c r="AS118" i="5"/>
  <c r="AO133" i="5"/>
  <c r="T177" i="11"/>
  <c r="T167" i="11"/>
  <c r="T146" i="11"/>
  <c r="W179" i="11"/>
  <c r="W181" i="11" s="1"/>
  <c r="W182" i="11" s="1"/>
  <c r="W146" i="11"/>
  <c r="U181" i="11"/>
  <c r="S143" i="5"/>
  <c r="S142" i="5"/>
  <c r="S134" i="5"/>
  <c r="O93" i="8"/>
  <c r="O57" i="8" s="1"/>
  <c r="U145" i="8"/>
  <c r="U179" i="8" s="1"/>
  <c r="S145" i="8"/>
  <c r="S179" i="8" s="1"/>
  <c r="S138" i="8"/>
  <c r="S139" i="8"/>
  <c r="U139" i="8"/>
  <c r="U138" i="8"/>
  <c r="W142" i="8"/>
  <c r="W134" i="8"/>
  <c r="W143" i="8"/>
  <c r="W137" i="8"/>
  <c r="Q139" i="5" l="1"/>
  <c r="U134" i="5"/>
  <c r="S180" i="8"/>
  <c r="S181" i="8"/>
  <c r="S182" i="8" s="1"/>
  <c r="S183" i="8" s="1"/>
  <c r="U180" i="8"/>
  <c r="U181" i="8"/>
  <c r="U182" i="8" s="1"/>
  <c r="U183" i="8" s="1"/>
  <c r="O179" i="5"/>
  <c r="O181" i="5" s="1"/>
  <c r="Q138" i="5"/>
  <c r="U143" i="5"/>
  <c r="U142" i="5"/>
  <c r="Q145" i="5"/>
  <c r="Q146" i="5" s="1"/>
  <c r="AO137" i="5"/>
  <c r="S141" i="5" s="1"/>
  <c r="S145" i="5" s="1"/>
  <c r="AQ137" i="5"/>
  <c r="U141" i="5" s="1"/>
  <c r="Q93" i="11"/>
  <c r="Q57" i="11" s="1"/>
  <c r="Q183" i="11"/>
  <c r="V146" i="11"/>
  <c r="U182" i="11"/>
  <c r="W93" i="11"/>
  <c r="W57" i="11" s="1"/>
  <c r="W183" i="11"/>
  <c r="AS108" i="5"/>
  <c r="AS113" i="5"/>
  <c r="AS112" i="5"/>
  <c r="AS117" i="5"/>
  <c r="AS109" i="5"/>
  <c r="AS110" i="5"/>
  <c r="AS111" i="5"/>
  <c r="AS116" i="5"/>
  <c r="AS125" i="5"/>
  <c r="AS131" i="5"/>
  <c r="AS129" i="5"/>
  <c r="V177" i="11"/>
  <c r="V167" i="11"/>
  <c r="X146" i="11"/>
  <c r="X167" i="11"/>
  <c r="X177" i="11"/>
  <c r="W180" i="11"/>
  <c r="S139" i="5"/>
  <c r="S138" i="5"/>
  <c r="W133" i="5"/>
  <c r="W137" i="5" s="1"/>
  <c r="W186" i="5" s="1"/>
  <c r="AS107" i="5"/>
  <c r="U139" i="5"/>
  <c r="U138" i="5"/>
  <c r="W145" i="8"/>
  <c r="W179" i="8" s="1"/>
  <c r="S93" i="8"/>
  <c r="S57" i="8" s="1"/>
  <c r="U93" i="8"/>
  <c r="U57" i="8" s="1"/>
  <c r="W139" i="8"/>
  <c r="W138" i="8"/>
  <c r="U145" i="5" l="1"/>
  <c r="U146" i="5" s="1"/>
  <c r="O180" i="5"/>
  <c r="W181" i="8"/>
  <c r="W182" i="8" s="1"/>
  <c r="W183" i="8" s="1"/>
  <c r="W180" i="8"/>
  <c r="Q179" i="5"/>
  <c r="Q181" i="5" s="1"/>
  <c r="P146" i="5"/>
  <c r="P167" i="5"/>
  <c r="P177" i="5"/>
  <c r="S146" i="5"/>
  <c r="S179" i="5"/>
  <c r="O182" i="5"/>
  <c r="U93" i="11"/>
  <c r="U57" i="11" s="1"/>
  <c r="U183" i="11"/>
  <c r="AS133" i="5"/>
  <c r="W143" i="5"/>
  <c r="W134" i="5"/>
  <c r="W142" i="5"/>
  <c r="W93" i="8"/>
  <c r="W57" i="8" s="1"/>
  <c r="U179" i="5" l="1"/>
  <c r="U181" i="5" s="1"/>
  <c r="Q180" i="5"/>
  <c r="AS137" i="5"/>
  <c r="W141" i="5" s="1"/>
  <c r="W145" i="5" s="1"/>
  <c r="O183" i="5"/>
  <c r="O93" i="5"/>
  <c r="O57" i="5" s="1"/>
  <c r="Q182" i="5"/>
  <c r="R167" i="5"/>
  <c r="R177" i="5"/>
  <c r="R146" i="5"/>
  <c r="S181" i="5"/>
  <c r="S180" i="5"/>
  <c r="W138" i="5"/>
  <c r="W139" i="5"/>
  <c r="U180" i="5" l="1"/>
  <c r="T167" i="5"/>
  <c r="T177" i="5"/>
  <c r="Q183" i="5"/>
  <c r="Q93" i="5"/>
  <c r="Q57" i="5" s="1"/>
  <c r="V167" i="5"/>
  <c r="V177" i="5"/>
  <c r="U182" i="5"/>
  <c r="S182" i="5"/>
  <c r="W146" i="5"/>
  <c r="W179" i="5"/>
  <c r="T146" i="5"/>
  <c r="V146" i="5"/>
  <c r="S183" i="5" l="1"/>
  <c r="S93" i="5"/>
  <c r="S57" i="5" s="1"/>
  <c r="U183" i="5"/>
  <c r="U93" i="5"/>
  <c r="U57" i="5" s="1"/>
  <c r="W180" i="5"/>
  <c r="W181" i="5"/>
  <c r="X177" i="5" l="1"/>
  <c r="X167" i="5"/>
  <c r="X146" i="5"/>
  <c r="W182" i="5"/>
  <c r="K57" i="5"/>
  <c r="W183" i="5" l="1"/>
  <c r="W93" i="5"/>
  <c r="W57" i="5" s="1"/>
  <c r="O133" i="11"/>
  <c r="O143" i="11" s="1"/>
  <c r="AK129" i="11"/>
  <c r="AK133" i="11" s="1"/>
  <c r="AK137" i="11" s="1"/>
  <c r="O141" i="11" s="1"/>
  <c r="O134" i="11" l="1"/>
  <c r="O137" i="11"/>
  <c r="O142" i="11"/>
  <c r="O145" i="11" s="1"/>
  <c r="O146" i="11" l="1"/>
  <c r="O179" i="11"/>
  <c r="O186" i="11"/>
  <c r="O139" i="11"/>
  <c r="O138" i="11"/>
  <c r="O181" i="11" l="1"/>
  <c r="O180" i="11"/>
  <c r="O182" i="11" l="1"/>
  <c r="P167" i="11"/>
  <c r="P177" i="11"/>
  <c r="P146" i="11"/>
  <c r="O183" i="11" l="1"/>
  <c r="O93" i="11"/>
  <c r="O57" i="11" s="1"/>
  <c r="W187" i="11"/>
  <c r="W188" i="11" s="1"/>
  <c r="Q187" i="11"/>
  <c r="Q188" i="11" s="1"/>
  <c r="S187" i="11"/>
  <c r="S188" i="11" s="1"/>
  <c r="O187" i="11"/>
  <c r="O188" i="11" s="1"/>
  <c r="U187" i="11"/>
  <c r="U188" i="11" s="1"/>
  <c r="U187" i="5"/>
  <c r="U188" i="5" s="1"/>
  <c r="W187" i="5" l="1"/>
  <c r="W188" i="5" s="1"/>
  <c r="O187" i="5"/>
  <c r="O188" i="5" s="1"/>
  <c r="S187" i="5"/>
  <c r="S188" i="5" s="1"/>
  <c r="Q187" i="5"/>
  <c r="Q188" i="5" s="1"/>
</calcChain>
</file>

<file path=xl/comments1.xml><?xml version="1.0" encoding="utf-8"?>
<comments xmlns="http://schemas.openxmlformats.org/spreadsheetml/2006/main">
  <authors>
    <author>betz</author>
    <author>Roger Betz, MSU Extension</author>
  </authors>
  <commentList>
    <comment ref="K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4"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K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5"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K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6"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I71" authorId="1">
      <text>
        <r>
          <rPr>
            <b/>
            <sz val="9"/>
            <color indexed="81"/>
            <rFont val="Tahoma"/>
            <family val="2"/>
          </rPr>
          <t>Roger Betz, MSU Extension:
Compare this to actual building sizes to help determine if square feet per sow/gilt values are consistent. 
Housing space for sow gestation, pre-gestation and replacement gilts are added together. Will only add square feet if are entered in lines 64,65 and 66.</t>
        </r>
      </text>
    </comment>
    <comment ref="M107"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08"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10"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11"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12"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13"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14"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15"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I117" authorId="0">
      <text>
        <r>
          <rPr>
            <sz val="9"/>
            <color indexed="81"/>
            <rFont val="Tahoma"/>
            <family val="2"/>
          </rPr>
          <t>The default cost values have the labor expense built into those items cost.  If labor is not included in your cost estimates, the labor expense can be added here.  If you enter the labor cost per added square foot the cost will carry across all alternative columns and the Existing Production System column.</t>
        </r>
      </text>
    </comment>
    <comment ref="M117"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18"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19"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20"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21"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23"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24"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25"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26"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27"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28"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H129" authorId="0">
      <text>
        <r>
          <rPr>
            <sz val="9"/>
            <color indexed="81"/>
            <rFont val="Tahoma"/>
            <family val="2"/>
          </rPr>
          <t xml:space="preserve">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
</t>
        </r>
      </text>
    </comment>
    <comment ref="M129" authorId="0">
      <text>
        <r>
          <rPr>
            <sz val="9"/>
            <color indexed="81"/>
            <rFont val="Tahoma"/>
            <family val="2"/>
          </rPr>
          <t xml:space="preserve">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
</t>
        </r>
      </text>
    </comment>
    <comment ref="O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Q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S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U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W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M131"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 ref="M132" authorId="0">
      <text>
        <r>
          <rPr>
            <sz val="9"/>
            <color indexed="81"/>
            <rFont val="Tahoma"/>
            <family val="2"/>
          </rPr>
          <t>This default value is used across the 5 Alternatives. This value can be changed and will be carried across the different alternative columns as long as the formula in those alternative columns is not changed.</t>
        </r>
      </text>
    </comment>
  </commentList>
</comments>
</file>

<file path=xl/comments2.xml><?xml version="1.0" encoding="utf-8"?>
<comments xmlns="http://schemas.openxmlformats.org/spreadsheetml/2006/main">
  <authors>
    <author>betz</author>
    <author>Roger Betz, MSU Extension</author>
  </authors>
  <commentList>
    <comment ref="K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4"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K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5"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K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6"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I71" authorId="1">
      <text>
        <r>
          <rPr>
            <b/>
            <sz val="9"/>
            <color indexed="81"/>
            <rFont val="Tahoma"/>
            <family val="2"/>
          </rPr>
          <t>Roger Betz, MSU Extension:
Compare this to actual building sizes to help determine if square feet per sow/gilt values are consistent. 
Housing space for sow gestation, pre-gestation and replacement gilts are added together. Will only add square feet if are entered in lines 64,65 and 66.</t>
        </r>
      </text>
    </comment>
    <comment ref="I117" authorId="0">
      <text>
        <r>
          <rPr>
            <sz val="9"/>
            <color indexed="81"/>
            <rFont val="Tahoma"/>
            <family val="2"/>
          </rPr>
          <t>The default cost values have the labor expense built into those items cost.  If labor is not included in your cost estimates, the labor expense can be added here.  If you enter the labor cost per added square foot the cost will carry across all alternative columns and the Existing Production System column.</t>
        </r>
      </text>
    </comment>
    <comment ref="H129" authorId="0">
      <text>
        <r>
          <rPr>
            <sz val="9"/>
            <color indexed="81"/>
            <rFont val="Tahoma"/>
            <family val="2"/>
          </rPr>
          <t xml:space="preserve">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
</t>
        </r>
      </text>
    </comment>
    <comment ref="M129" authorId="0">
      <text>
        <r>
          <rPr>
            <sz val="9"/>
            <color indexed="81"/>
            <rFont val="Tahoma"/>
            <family val="2"/>
          </rPr>
          <t xml:space="preserve">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
</t>
        </r>
      </text>
    </comment>
    <comment ref="O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Q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S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U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W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O148" authorId="1">
      <text>
        <r>
          <rPr>
            <b/>
            <sz val="9"/>
            <color indexed="81"/>
            <rFont val="Tahoma"/>
            <family val="2"/>
          </rPr>
          <t>Roger Betz, MSU Extension:</t>
        </r>
        <r>
          <rPr>
            <sz val="9"/>
            <color indexed="81"/>
            <rFont val="Tahoma"/>
            <family val="2"/>
          </rPr>
          <t xml:space="preserve">
These cost are defaulted to the same cost per sow per year as the existing cost
</t>
        </r>
      </text>
    </comment>
  </commentList>
</comments>
</file>

<file path=xl/comments3.xml><?xml version="1.0" encoding="utf-8"?>
<comments xmlns="http://schemas.openxmlformats.org/spreadsheetml/2006/main">
  <authors>
    <author>betz</author>
    <author>Roger Betz, MSU Extension</author>
  </authors>
  <commentList>
    <comment ref="K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4"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K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5"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K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6"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I71" authorId="1">
      <text>
        <r>
          <rPr>
            <b/>
            <sz val="9"/>
            <color indexed="81"/>
            <rFont val="Tahoma"/>
            <family val="2"/>
          </rPr>
          <t>Roger Betz, MSU Extension:
Compare this to actual building sizes to help determine if square feet per sow/gilt values are consistent. 
Housing space for sow gestation, pre-gestation and replacement gilts are added together. Will only add square feet if are entered in lines 64,65 and 66.</t>
        </r>
      </text>
    </comment>
    <comment ref="O107" authorId="1">
      <text>
        <r>
          <rPr>
            <b/>
            <sz val="9"/>
            <color indexed="81"/>
            <rFont val="Tahoma"/>
            <family val="2"/>
          </rPr>
          <t>Roger Betz, MSU Extension:</t>
        </r>
        <r>
          <rPr>
            <sz val="9"/>
            <color indexed="81"/>
            <rFont val="Tahoma"/>
            <family val="2"/>
          </rPr>
          <t xml:space="preserve">
This cell has a formula but can be overwritten</t>
        </r>
      </text>
    </comment>
    <comment ref="Q107" authorId="1">
      <text>
        <r>
          <rPr>
            <b/>
            <sz val="9"/>
            <color indexed="81"/>
            <rFont val="Tahoma"/>
            <family val="2"/>
          </rPr>
          <t>Roger Betz, MSU Extension:</t>
        </r>
        <r>
          <rPr>
            <sz val="9"/>
            <color indexed="81"/>
            <rFont val="Tahoma"/>
            <family val="2"/>
          </rPr>
          <t xml:space="preserve">
This cell has a formula but can be overwritten</t>
        </r>
      </text>
    </comment>
    <comment ref="S107" authorId="1">
      <text>
        <r>
          <rPr>
            <b/>
            <sz val="9"/>
            <color indexed="81"/>
            <rFont val="Tahoma"/>
            <family val="2"/>
          </rPr>
          <t>Roger Betz, MSU Extension:</t>
        </r>
        <r>
          <rPr>
            <sz val="9"/>
            <color indexed="81"/>
            <rFont val="Tahoma"/>
            <family val="2"/>
          </rPr>
          <t xml:space="preserve">
This cell has a formula but can be overwritten</t>
        </r>
      </text>
    </comment>
    <comment ref="U107" authorId="1">
      <text>
        <r>
          <rPr>
            <b/>
            <sz val="9"/>
            <color indexed="81"/>
            <rFont val="Tahoma"/>
            <family val="2"/>
          </rPr>
          <t>Roger Betz, MSU Extension:</t>
        </r>
        <r>
          <rPr>
            <sz val="9"/>
            <color indexed="81"/>
            <rFont val="Tahoma"/>
            <family val="2"/>
          </rPr>
          <t xml:space="preserve">
This cell has a formula but can be overwritten</t>
        </r>
      </text>
    </comment>
    <comment ref="W107" authorId="1">
      <text>
        <r>
          <rPr>
            <b/>
            <sz val="9"/>
            <color indexed="81"/>
            <rFont val="Tahoma"/>
            <family val="2"/>
          </rPr>
          <t>Roger Betz, MSU Extension:</t>
        </r>
        <r>
          <rPr>
            <sz val="9"/>
            <color indexed="81"/>
            <rFont val="Tahoma"/>
            <family val="2"/>
          </rPr>
          <t xml:space="preserve">
This cell has a formula but can be overwritten</t>
        </r>
      </text>
    </comment>
    <comment ref="O108" authorId="1">
      <text>
        <r>
          <rPr>
            <b/>
            <sz val="9"/>
            <color indexed="81"/>
            <rFont val="Tahoma"/>
            <family val="2"/>
          </rPr>
          <t>Roger Betz, MSU Extension:</t>
        </r>
        <r>
          <rPr>
            <sz val="9"/>
            <color indexed="81"/>
            <rFont val="Tahoma"/>
            <family val="2"/>
          </rPr>
          <t xml:space="preserve">
This cell has a formula but can be overwritten</t>
        </r>
      </text>
    </comment>
    <comment ref="Q108" authorId="1">
      <text>
        <r>
          <rPr>
            <b/>
            <sz val="9"/>
            <color indexed="81"/>
            <rFont val="Tahoma"/>
            <family val="2"/>
          </rPr>
          <t>Roger Betz, MSU Extension:</t>
        </r>
        <r>
          <rPr>
            <sz val="9"/>
            <color indexed="81"/>
            <rFont val="Tahoma"/>
            <family val="2"/>
          </rPr>
          <t xml:space="preserve">
This cell has a formula but can be overwritten</t>
        </r>
      </text>
    </comment>
    <comment ref="S108" authorId="1">
      <text>
        <r>
          <rPr>
            <b/>
            <sz val="9"/>
            <color indexed="81"/>
            <rFont val="Tahoma"/>
            <family val="2"/>
          </rPr>
          <t>Roger Betz, MSU Extension:</t>
        </r>
        <r>
          <rPr>
            <sz val="9"/>
            <color indexed="81"/>
            <rFont val="Tahoma"/>
            <family val="2"/>
          </rPr>
          <t xml:space="preserve">
This cell has a formula but can be overwritten</t>
        </r>
      </text>
    </comment>
    <comment ref="U108" authorId="1">
      <text>
        <r>
          <rPr>
            <b/>
            <sz val="9"/>
            <color indexed="81"/>
            <rFont val="Tahoma"/>
            <family val="2"/>
          </rPr>
          <t>Roger Betz, MSU Extension:</t>
        </r>
        <r>
          <rPr>
            <sz val="9"/>
            <color indexed="81"/>
            <rFont val="Tahoma"/>
            <family val="2"/>
          </rPr>
          <t xml:space="preserve">
This cell has a formula but can be overwritten</t>
        </r>
      </text>
    </comment>
    <comment ref="W108" authorId="1">
      <text>
        <r>
          <rPr>
            <b/>
            <sz val="9"/>
            <color indexed="81"/>
            <rFont val="Tahoma"/>
            <family val="2"/>
          </rPr>
          <t>Roger Betz, MSU Extension:</t>
        </r>
        <r>
          <rPr>
            <sz val="9"/>
            <color indexed="81"/>
            <rFont val="Tahoma"/>
            <family val="2"/>
          </rPr>
          <t xml:space="preserve">
This cell has a formula but can be overwritten</t>
        </r>
      </text>
    </comment>
    <comment ref="O109" authorId="1">
      <text>
        <r>
          <rPr>
            <b/>
            <sz val="9"/>
            <color indexed="81"/>
            <rFont val="Tahoma"/>
            <family val="2"/>
          </rPr>
          <t>Roger Betz, MSU Extension:</t>
        </r>
        <r>
          <rPr>
            <sz val="9"/>
            <color indexed="81"/>
            <rFont val="Tahoma"/>
            <family val="2"/>
          </rPr>
          <t xml:space="preserve">
This cell has a formula but can be overwritten</t>
        </r>
      </text>
    </comment>
    <comment ref="Q109" authorId="1">
      <text>
        <r>
          <rPr>
            <b/>
            <sz val="9"/>
            <color indexed="81"/>
            <rFont val="Tahoma"/>
            <family val="2"/>
          </rPr>
          <t>Roger Betz, MSU Extension:</t>
        </r>
        <r>
          <rPr>
            <sz val="9"/>
            <color indexed="81"/>
            <rFont val="Tahoma"/>
            <family val="2"/>
          </rPr>
          <t xml:space="preserve">
This cell has a formula but can be overwritten</t>
        </r>
      </text>
    </comment>
    <comment ref="S109" authorId="1">
      <text>
        <r>
          <rPr>
            <b/>
            <sz val="9"/>
            <color indexed="81"/>
            <rFont val="Tahoma"/>
            <family val="2"/>
          </rPr>
          <t>Roger Betz, MSU Extension:</t>
        </r>
        <r>
          <rPr>
            <sz val="9"/>
            <color indexed="81"/>
            <rFont val="Tahoma"/>
            <family val="2"/>
          </rPr>
          <t xml:space="preserve">
This cell has a formula but can be overwritten</t>
        </r>
      </text>
    </comment>
    <comment ref="U109" authorId="1">
      <text>
        <r>
          <rPr>
            <b/>
            <sz val="9"/>
            <color indexed="81"/>
            <rFont val="Tahoma"/>
            <family val="2"/>
          </rPr>
          <t>Roger Betz, MSU Extension:</t>
        </r>
        <r>
          <rPr>
            <sz val="9"/>
            <color indexed="81"/>
            <rFont val="Tahoma"/>
            <family val="2"/>
          </rPr>
          <t xml:space="preserve">
This cell has a formula but can be overwritten</t>
        </r>
      </text>
    </comment>
    <comment ref="W109" authorId="1">
      <text>
        <r>
          <rPr>
            <b/>
            <sz val="9"/>
            <color indexed="81"/>
            <rFont val="Tahoma"/>
            <family val="2"/>
          </rPr>
          <t>Roger Betz, MSU Extension:</t>
        </r>
        <r>
          <rPr>
            <sz val="9"/>
            <color indexed="81"/>
            <rFont val="Tahoma"/>
            <family val="2"/>
          </rPr>
          <t xml:space="preserve">
This cell has a formula but can be overwritten</t>
        </r>
      </text>
    </comment>
    <comment ref="O110" authorId="1">
      <text>
        <r>
          <rPr>
            <b/>
            <sz val="9"/>
            <color indexed="81"/>
            <rFont val="Tahoma"/>
            <family val="2"/>
          </rPr>
          <t>Roger Betz, MSU Extension:</t>
        </r>
        <r>
          <rPr>
            <sz val="9"/>
            <color indexed="81"/>
            <rFont val="Tahoma"/>
            <family val="2"/>
          </rPr>
          <t xml:space="preserve">
This cell has a formula but can be overwritten</t>
        </r>
      </text>
    </comment>
    <comment ref="Q110" authorId="1">
      <text>
        <r>
          <rPr>
            <b/>
            <sz val="9"/>
            <color indexed="81"/>
            <rFont val="Tahoma"/>
            <family val="2"/>
          </rPr>
          <t>Roger Betz, MSU Extension:</t>
        </r>
        <r>
          <rPr>
            <sz val="9"/>
            <color indexed="81"/>
            <rFont val="Tahoma"/>
            <family val="2"/>
          </rPr>
          <t xml:space="preserve">
This cell has a formula but can be overwritten</t>
        </r>
      </text>
    </comment>
    <comment ref="S110" authorId="1">
      <text>
        <r>
          <rPr>
            <b/>
            <sz val="9"/>
            <color indexed="81"/>
            <rFont val="Tahoma"/>
            <family val="2"/>
          </rPr>
          <t>Roger Betz, MSU Extension:</t>
        </r>
        <r>
          <rPr>
            <sz val="9"/>
            <color indexed="81"/>
            <rFont val="Tahoma"/>
            <family val="2"/>
          </rPr>
          <t xml:space="preserve">
This cell has a formula but can be overwritten</t>
        </r>
      </text>
    </comment>
    <comment ref="U110" authorId="1">
      <text>
        <r>
          <rPr>
            <b/>
            <sz val="9"/>
            <color indexed="81"/>
            <rFont val="Tahoma"/>
            <family val="2"/>
          </rPr>
          <t>Roger Betz, MSU Extension:</t>
        </r>
        <r>
          <rPr>
            <sz val="9"/>
            <color indexed="81"/>
            <rFont val="Tahoma"/>
            <family val="2"/>
          </rPr>
          <t xml:space="preserve">
This cell has a formula but can be overwritten</t>
        </r>
      </text>
    </comment>
    <comment ref="W110" authorId="1">
      <text>
        <r>
          <rPr>
            <b/>
            <sz val="9"/>
            <color indexed="81"/>
            <rFont val="Tahoma"/>
            <family val="2"/>
          </rPr>
          <t>Roger Betz, MSU Extension:</t>
        </r>
        <r>
          <rPr>
            <sz val="9"/>
            <color indexed="81"/>
            <rFont val="Tahoma"/>
            <family val="2"/>
          </rPr>
          <t xml:space="preserve">
This cell has a formula but can be overwritten</t>
        </r>
      </text>
    </comment>
    <comment ref="O111" authorId="1">
      <text>
        <r>
          <rPr>
            <b/>
            <sz val="9"/>
            <color indexed="81"/>
            <rFont val="Tahoma"/>
            <family val="2"/>
          </rPr>
          <t>Roger Betz, MSU Extension:</t>
        </r>
        <r>
          <rPr>
            <sz val="9"/>
            <color indexed="81"/>
            <rFont val="Tahoma"/>
            <family val="2"/>
          </rPr>
          <t xml:space="preserve">
This cell has a formula but can be overwritten</t>
        </r>
      </text>
    </comment>
    <comment ref="Q111" authorId="1">
      <text>
        <r>
          <rPr>
            <b/>
            <sz val="9"/>
            <color indexed="81"/>
            <rFont val="Tahoma"/>
            <family val="2"/>
          </rPr>
          <t>Roger Betz, MSU Extension:</t>
        </r>
        <r>
          <rPr>
            <sz val="9"/>
            <color indexed="81"/>
            <rFont val="Tahoma"/>
            <family val="2"/>
          </rPr>
          <t xml:space="preserve">
This cell has a formula but can be overwritten</t>
        </r>
      </text>
    </comment>
    <comment ref="S111" authorId="1">
      <text>
        <r>
          <rPr>
            <b/>
            <sz val="9"/>
            <color indexed="81"/>
            <rFont val="Tahoma"/>
            <family val="2"/>
          </rPr>
          <t>Roger Betz, MSU Extension:</t>
        </r>
        <r>
          <rPr>
            <sz val="9"/>
            <color indexed="81"/>
            <rFont val="Tahoma"/>
            <family val="2"/>
          </rPr>
          <t xml:space="preserve">
This cell has a formula but can be overwritten</t>
        </r>
      </text>
    </comment>
    <comment ref="U111" authorId="1">
      <text>
        <r>
          <rPr>
            <b/>
            <sz val="9"/>
            <color indexed="81"/>
            <rFont val="Tahoma"/>
            <family val="2"/>
          </rPr>
          <t>Roger Betz, MSU Extension:</t>
        </r>
        <r>
          <rPr>
            <sz val="9"/>
            <color indexed="81"/>
            <rFont val="Tahoma"/>
            <family val="2"/>
          </rPr>
          <t xml:space="preserve">
This cell has a formula but can be overwritten</t>
        </r>
      </text>
    </comment>
    <comment ref="W111" authorId="1">
      <text>
        <r>
          <rPr>
            <b/>
            <sz val="9"/>
            <color indexed="81"/>
            <rFont val="Tahoma"/>
            <family val="2"/>
          </rPr>
          <t>Roger Betz, MSU Extension:</t>
        </r>
        <r>
          <rPr>
            <sz val="9"/>
            <color indexed="81"/>
            <rFont val="Tahoma"/>
            <family val="2"/>
          </rPr>
          <t xml:space="preserve">
This cell has a formula but can be overwritten</t>
        </r>
      </text>
    </comment>
    <comment ref="O112" authorId="1">
      <text>
        <r>
          <rPr>
            <b/>
            <sz val="9"/>
            <color indexed="81"/>
            <rFont val="Tahoma"/>
            <family val="2"/>
          </rPr>
          <t>Roger Betz, MSU Extension:</t>
        </r>
        <r>
          <rPr>
            <sz val="9"/>
            <color indexed="81"/>
            <rFont val="Tahoma"/>
            <family val="2"/>
          </rPr>
          <t xml:space="preserve">
This cell has a formula but can be overwritten</t>
        </r>
      </text>
    </comment>
    <comment ref="Q112" authorId="1">
      <text>
        <r>
          <rPr>
            <b/>
            <sz val="9"/>
            <color indexed="81"/>
            <rFont val="Tahoma"/>
            <family val="2"/>
          </rPr>
          <t>Roger Betz, MSU Extension:</t>
        </r>
        <r>
          <rPr>
            <sz val="9"/>
            <color indexed="81"/>
            <rFont val="Tahoma"/>
            <family val="2"/>
          </rPr>
          <t xml:space="preserve">
This cell has a formula but can be overwritten</t>
        </r>
      </text>
    </comment>
    <comment ref="S112" authorId="1">
      <text>
        <r>
          <rPr>
            <b/>
            <sz val="9"/>
            <color indexed="81"/>
            <rFont val="Tahoma"/>
            <family val="2"/>
          </rPr>
          <t>Roger Betz, MSU Extension:</t>
        </r>
        <r>
          <rPr>
            <sz val="9"/>
            <color indexed="81"/>
            <rFont val="Tahoma"/>
            <family val="2"/>
          </rPr>
          <t xml:space="preserve">
This cell has a formula but can be overwritten</t>
        </r>
      </text>
    </comment>
    <comment ref="U112" authorId="1">
      <text>
        <r>
          <rPr>
            <b/>
            <sz val="9"/>
            <color indexed="81"/>
            <rFont val="Tahoma"/>
            <family val="2"/>
          </rPr>
          <t>Roger Betz, MSU Extension:</t>
        </r>
        <r>
          <rPr>
            <sz val="9"/>
            <color indexed="81"/>
            <rFont val="Tahoma"/>
            <family val="2"/>
          </rPr>
          <t xml:space="preserve">
This cell has a formula but can be overwritten</t>
        </r>
      </text>
    </comment>
    <comment ref="W112" authorId="1">
      <text>
        <r>
          <rPr>
            <b/>
            <sz val="9"/>
            <color indexed="81"/>
            <rFont val="Tahoma"/>
            <family val="2"/>
          </rPr>
          <t>Roger Betz, MSU Extension:</t>
        </r>
        <r>
          <rPr>
            <sz val="9"/>
            <color indexed="81"/>
            <rFont val="Tahoma"/>
            <family val="2"/>
          </rPr>
          <t xml:space="preserve">
This cell has a formula but can be overwritten</t>
        </r>
      </text>
    </comment>
    <comment ref="O113" authorId="1">
      <text>
        <r>
          <rPr>
            <b/>
            <sz val="9"/>
            <color indexed="81"/>
            <rFont val="Tahoma"/>
            <family val="2"/>
          </rPr>
          <t>Roger Betz, MSU Extension:</t>
        </r>
        <r>
          <rPr>
            <sz val="9"/>
            <color indexed="81"/>
            <rFont val="Tahoma"/>
            <family val="2"/>
          </rPr>
          <t xml:space="preserve">
This cell has a formula but can be overwritten</t>
        </r>
      </text>
    </comment>
    <comment ref="Q113" authorId="1">
      <text>
        <r>
          <rPr>
            <b/>
            <sz val="9"/>
            <color indexed="81"/>
            <rFont val="Tahoma"/>
            <family val="2"/>
          </rPr>
          <t>Roger Betz, MSU Extension:</t>
        </r>
        <r>
          <rPr>
            <sz val="9"/>
            <color indexed="81"/>
            <rFont val="Tahoma"/>
            <family val="2"/>
          </rPr>
          <t xml:space="preserve">
This cell has a formula but can be overwritten</t>
        </r>
      </text>
    </comment>
    <comment ref="S113" authorId="1">
      <text>
        <r>
          <rPr>
            <b/>
            <sz val="9"/>
            <color indexed="81"/>
            <rFont val="Tahoma"/>
            <family val="2"/>
          </rPr>
          <t>Roger Betz, MSU Extension:</t>
        </r>
        <r>
          <rPr>
            <sz val="9"/>
            <color indexed="81"/>
            <rFont val="Tahoma"/>
            <family val="2"/>
          </rPr>
          <t xml:space="preserve">
This cell has a formula but can be overwritten</t>
        </r>
      </text>
    </comment>
    <comment ref="U113" authorId="1">
      <text>
        <r>
          <rPr>
            <b/>
            <sz val="9"/>
            <color indexed="81"/>
            <rFont val="Tahoma"/>
            <family val="2"/>
          </rPr>
          <t>Roger Betz, MSU Extension:</t>
        </r>
        <r>
          <rPr>
            <sz val="9"/>
            <color indexed="81"/>
            <rFont val="Tahoma"/>
            <family val="2"/>
          </rPr>
          <t xml:space="preserve">
This cell has a formula but can be overwritten</t>
        </r>
      </text>
    </comment>
    <comment ref="W113" authorId="1">
      <text>
        <r>
          <rPr>
            <b/>
            <sz val="9"/>
            <color indexed="81"/>
            <rFont val="Tahoma"/>
            <family val="2"/>
          </rPr>
          <t>Roger Betz, MSU Extension:</t>
        </r>
        <r>
          <rPr>
            <sz val="9"/>
            <color indexed="81"/>
            <rFont val="Tahoma"/>
            <family val="2"/>
          </rPr>
          <t xml:space="preserve">
This cell has a formula but can be overwritten</t>
        </r>
      </text>
    </comment>
    <comment ref="O114" authorId="1">
      <text>
        <r>
          <rPr>
            <b/>
            <sz val="9"/>
            <color indexed="81"/>
            <rFont val="Tahoma"/>
            <family val="2"/>
          </rPr>
          <t>Roger Betz, MSU Extension:</t>
        </r>
        <r>
          <rPr>
            <sz val="9"/>
            <color indexed="81"/>
            <rFont val="Tahoma"/>
            <family val="2"/>
          </rPr>
          <t xml:space="preserve">
This cell has a formula but can be overwritten</t>
        </r>
      </text>
    </comment>
    <comment ref="Q114" authorId="1">
      <text>
        <r>
          <rPr>
            <b/>
            <sz val="9"/>
            <color indexed="81"/>
            <rFont val="Tahoma"/>
            <family val="2"/>
          </rPr>
          <t>Roger Betz, MSU Extension:</t>
        </r>
        <r>
          <rPr>
            <sz val="9"/>
            <color indexed="81"/>
            <rFont val="Tahoma"/>
            <family val="2"/>
          </rPr>
          <t xml:space="preserve">
This cell has a formula but can be overwritten</t>
        </r>
      </text>
    </comment>
    <comment ref="S114" authorId="1">
      <text>
        <r>
          <rPr>
            <b/>
            <sz val="9"/>
            <color indexed="81"/>
            <rFont val="Tahoma"/>
            <family val="2"/>
          </rPr>
          <t>Roger Betz, MSU Extension:</t>
        </r>
        <r>
          <rPr>
            <sz val="9"/>
            <color indexed="81"/>
            <rFont val="Tahoma"/>
            <family val="2"/>
          </rPr>
          <t xml:space="preserve">
This cell has a formula but can be overwritten</t>
        </r>
      </text>
    </comment>
    <comment ref="U114" authorId="1">
      <text>
        <r>
          <rPr>
            <b/>
            <sz val="9"/>
            <color indexed="81"/>
            <rFont val="Tahoma"/>
            <family val="2"/>
          </rPr>
          <t>Roger Betz, MSU Extension:</t>
        </r>
        <r>
          <rPr>
            <sz val="9"/>
            <color indexed="81"/>
            <rFont val="Tahoma"/>
            <family val="2"/>
          </rPr>
          <t xml:space="preserve">
This cell has a formula but can be overwritten</t>
        </r>
      </text>
    </comment>
    <comment ref="W114" authorId="1">
      <text>
        <r>
          <rPr>
            <b/>
            <sz val="9"/>
            <color indexed="81"/>
            <rFont val="Tahoma"/>
            <family val="2"/>
          </rPr>
          <t>Roger Betz, MSU Extension:</t>
        </r>
        <r>
          <rPr>
            <sz val="9"/>
            <color indexed="81"/>
            <rFont val="Tahoma"/>
            <family val="2"/>
          </rPr>
          <t xml:space="preserve">
This cell has a formula but can be overwritten</t>
        </r>
      </text>
    </comment>
    <comment ref="O115" authorId="1">
      <text>
        <r>
          <rPr>
            <b/>
            <sz val="9"/>
            <color indexed="81"/>
            <rFont val="Tahoma"/>
            <family val="2"/>
          </rPr>
          <t>Roger Betz, MSU Extension:</t>
        </r>
        <r>
          <rPr>
            <sz val="9"/>
            <color indexed="81"/>
            <rFont val="Tahoma"/>
            <family val="2"/>
          </rPr>
          <t xml:space="preserve">
This cell has a formula but can be overwritten</t>
        </r>
      </text>
    </comment>
    <comment ref="Q115" authorId="1">
      <text>
        <r>
          <rPr>
            <b/>
            <sz val="9"/>
            <color indexed="81"/>
            <rFont val="Tahoma"/>
            <family val="2"/>
          </rPr>
          <t>Roger Betz, MSU Extension:</t>
        </r>
        <r>
          <rPr>
            <sz val="9"/>
            <color indexed="81"/>
            <rFont val="Tahoma"/>
            <family val="2"/>
          </rPr>
          <t xml:space="preserve">
This cell has a formula but can be overwritten</t>
        </r>
      </text>
    </comment>
    <comment ref="S115" authorId="1">
      <text>
        <r>
          <rPr>
            <b/>
            <sz val="9"/>
            <color indexed="81"/>
            <rFont val="Tahoma"/>
            <family val="2"/>
          </rPr>
          <t>Roger Betz, MSU Extension:</t>
        </r>
        <r>
          <rPr>
            <sz val="9"/>
            <color indexed="81"/>
            <rFont val="Tahoma"/>
            <family val="2"/>
          </rPr>
          <t xml:space="preserve">
This cell has a formula but can be overwritten</t>
        </r>
      </text>
    </comment>
    <comment ref="U115" authorId="1">
      <text>
        <r>
          <rPr>
            <b/>
            <sz val="9"/>
            <color indexed="81"/>
            <rFont val="Tahoma"/>
            <family val="2"/>
          </rPr>
          <t>Roger Betz, MSU Extension:</t>
        </r>
        <r>
          <rPr>
            <sz val="9"/>
            <color indexed="81"/>
            <rFont val="Tahoma"/>
            <family val="2"/>
          </rPr>
          <t xml:space="preserve">
This cell has a formula but can be overwritten</t>
        </r>
      </text>
    </comment>
    <comment ref="W115" authorId="1">
      <text>
        <r>
          <rPr>
            <b/>
            <sz val="9"/>
            <color indexed="81"/>
            <rFont val="Tahoma"/>
            <family val="2"/>
          </rPr>
          <t>Roger Betz, MSU Extension:</t>
        </r>
        <r>
          <rPr>
            <sz val="9"/>
            <color indexed="81"/>
            <rFont val="Tahoma"/>
            <family val="2"/>
          </rPr>
          <t xml:space="preserve">
This cell has a formula but can be overwritten</t>
        </r>
      </text>
    </comment>
    <comment ref="O116" authorId="1">
      <text>
        <r>
          <rPr>
            <b/>
            <sz val="9"/>
            <color indexed="81"/>
            <rFont val="Tahoma"/>
            <family val="2"/>
          </rPr>
          <t>Roger Betz, MSU Extension:</t>
        </r>
        <r>
          <rPr>
            <sz val="9"/>
            <color indexed="81"/>
            <rFont val="Tahoma"/>
            <family val="2"/>
          </rPr>
          <t xml:space="preserve">
This cell has a formula but can be overwritten</t>
        </r>
      </text>
    </comment>
    <comment ref="Q116" authorId="1">
      <text>
        <r>
          <rPr>
            <b/>
            <sz val="9"/>
            <color indexed="81"/>
            <rFont val="Tahoma"/>
            <family val="2"/>
          </rPr>
          <t>Roger Betz, MSU Extension:</t>
        </r>
        <r>
          <rPr>
            <sz val="9"/>
            <color indexed="81"/>
            <rFont val="Tahoma"/>
            <family val="2"/>
          </rPr>
          <t xml:space="preserve">
This cell has a formula but can be overwritten</t>
        </r>
      </text>
    </comment>
    <comment ref="S116" authorId="1">
      <text>
        <r>
          <rPr>
            <b/>
            <sz val="9"/>
            <color indexed="81"/>
            <rFont val="Tahoma"/>
            <family val="2"/>
          </rPr>
          <t>Roger Betz, MSU Extension:</t>
        </r>
        <r>
          <rPr>
            <sz val="9"/>
            <color indexed="81"/>
            <rFont val="Tahoma"/>
            <family val="2"/>
          </rPr>
          <t xml:space="preserve">
This cell has a formula but can be overwritten</t>
        </r>
      </text>
    </comment>
    <comment ref="U116" authorId="1">
      <text>
        <r>
          <rPr>
            <b/>
            <sz val="9"/>
            <color indexed="81"/>
            <rFont val="Tahoma"/>
            <family val="2"/>
          </rPr>
          <t>Roger Betz, MSU Extension:</t>
        </r>
        <r>
          <rPr>
            <sz val="9"/>
            <color indexed="81"/>
            <rFont val="Tahoma"/>
            <family val="2"/>
          </rPr>
          <t xml:space="preserve">
This cell has a formula but can be overwritten</t>
        </r>
      </text>
    </comment>
    <comment ref="W116" authorId="1">
      <text>
        <r>
          <rPr>
            <b/>
            <sz val="9"/>
            <color indexed="81"/>
            <rFont val="Tahoma"/>
            <family val="2"/>
          </rPr>
          <t>Roger Betz, MSU Extension:</t>
        </r>
        <r>
          <rPr>
            <sz val="9"/>
            <color indexed="81"/>
            <rFont val="Tahoma"/>
            <family val="2"/>
          </rPr>
          <t xml:space="preserve">
This cell has a formula but can be overwritten</t>
        </r>
      </text>
    </comment>
    <comment ref="I117" authorId="0">
      <text>
        <r>
          <rPr>
            <sz val="9"/>
            <color indexed="81"/>
            <rFont val="Tahoma"/>
            <family val="2"/>
          </rPr>
          <t>The default cost values have the labor expense built into those items cost.  If labor is not included in your cost estimates, the labor expense can be added here.  If you enter the labor cost per added square foot the cost will carry across all alternative columns and the Existing Production System column.</t>
        </r>
      </text>
    </comment>
    <comment ref="O117" authorId="1">
      <text>
        <r>
          <rPr>
            <b/>
            <sz val="9"/>
            <color indexed="81"/>
            <rFont val="Tahoma"/>
            <family val="2"/>
          </rPr>
          <t>Roger Betz, MSU Extension:</t>
        </r>
        <r>
          <rPr>
            <sz val="9"/>
            <color indexed="81"/>
            <rFont val="Tahoma"/>
            <family val="2"/>
          </rPr>
          <t xml:space="preserve">
This cell has a formula but can be overwritten</t>
        </r>
      </text>
    </comment>
    <comment ref="Q117" authorId="1">
      <text>
        <r>
          <rPr>
            <b/>
            <sz val="9"/>
            <color indexed="81"/>
            <rFont val="Tahoma"/>
            <family val="2"/>
          </rPr>
          <t>Roger Betz, MSU Extension:</t>
        </r>
        <r>
          <rPr>
            <sz val="9"/>
            <color indexed="81"/>
            <rFont val="Tahoma"/>
            <family val="2"/>
          </rPr>
          <t xml:space="preserve">
This cell has a formula but can be overwritten</t>
        </r>
      </text>
    </comment>
    <comment ref="S117" authorId="1">
      <text>
        <r>
          <rPr>
            <b/>
            <sz val="9"/>
            <color indexed="81"/>
            <rFont val="Tahoma"/>
            <family val="2"/>
          </rPr>
          <t>Roger Betz, MSU Extension:</t>
        </r>
        <r>
          <rPr>
            <sz val="9"/>
            <color indexed="81"/>
            <rFont val="Tahoma"/>
            <family val="2"/>
          </rPr>
          <t xml:space="preserve">
This cell has a formula but can be overwritten</t>
        </r>
      </text>
    </comment>
    <comment ref="U117" authorId="1">
      <text>
        <r>
          <rPr>
            <b/>
            <sz val="9"/>
            <color indexed="81"/>
            <rFont val="Tahoma"/>
            <family val="2"/>
          </rPr>
          <t>Roger Betz, MSU Extension:</t>
        </r>
        <r>
          <rPr>
            <sz val="9"/>
            <color indexed="81"/>
            <rFont val="Tahoma"/>
            <family val="2"/>
          </rPr>
          <t xml:space="preserve">
This cell has a formula but can be overwritten</t>
        </r>
      </text>
    </comment>
    <comment ref="W117" authorId="1">
      <text>
        <r>
          <rPr>
            <b/>
            <sz val="9"/>
            <color indexed="81"/>
            <rFont val="Tahoma"/>
            <family val="2"/>
          </rPr>
          <t>Roger Betz, MSU Extension:</t>
        </r>
        <r>
          <rPr>
            <sz val="9"/>
            <color indexed="81"/>
            <rFont val="Tahoma"/>
            <family val="2"/>
          </rPr>
          <t xml:space="preserve">
This cell has a formula but can be overwritten</t>
        </r>
      </text>
    </comment>
    <comment ref="O118" authorId="1">
      <text>
        <r>
          <rPr>
            <b/>
            <sz val="9"/>
            <color indexed="81"/>
            <rFont val="Tahoma"/>
            <family val="2"/>
          </rPr>
          <t>Roger Betz, MSU Extension:</t>
        </r>
        <r>
          <rPr>
            <sz val="9"/>
            <color indexed="81"/>
            <rFont val="Tahoma"/>
            <family val="2"/>
          </rPr>
          <t xml:space="preserve">
This cell has a formula but can be overwritten</t>
        </r>
      </text>
    </comment>
    <comment ref="Q118" authorId="1">
      <text>
        <r>
          <rPr>
            <b/>
            <sz val="9"/>
            <color indexed="81"/>
            <rFont val="Tahoma"/>
            <family val="2"/>
          </rPr>
          <t>Roger Betz, MSU Extension:</t>
        </r>
        <r>
          <rPr>
            <sz val="9"/>
            <color indexed="81"/>
            <rFont val="Tahoma"/>
            <family val="2"/>
          </rPr>
          <t xml:space="preserve">
This cell has a formula but can be overwritten</t>
        </r>
      </text>
    </comment>
    <comment ref="S118" authorId="1">
      <text>
        <r>
          <rPr>
            <b/>
            <sz val="9"/>
            <color indexed="81"/>
            <rFont val="Tahoma"/>
            <family val="2"/>
          </rPr>
          <t>Roger Betz, MSU Extension:</t>
        </r>
        <r>
          <rPr>
            <sz val="9"/>
            <color indexed="81"/>
            <rFont val="Tahoma"/>
            <family val="2"/>
          </rPr>
          <t xml:space="preserve">
This cell has a formula but can be overwritten</t>
        </r>
      </text>
    </comment>
    <comment ref="U118" authorId="1">
      <text>
        <r>
          <rPr>
            <b/>
            <sz val="9"/>
            <color indexed="81"/>
            <rFont val="Tahoma"/>
            <family val="2"/>
          </rPr>
          <t>Roger Betz, MSU Extension:</t>
        </r>
        <r>
          <rPr>
            <sz val="9"/>
            <color indexed="81"/>
            <rFont val="Tahoma"/>
            <family val="2"/>
          </rPr>
          <t xml:space="preserve">
This cell has a formula but can be overwritten</t>
        </r>
      </text>
    </comment>
    <comment ref="W118" authorId="1">
      <text>
        <r>
          <rPr>
            <b/>
            <sz val="9"/>
            <color indexed="81"/>
            <rFont val="Tahoma"/>
            <family val="2"/>
          </rPr>
          <t>Roger Betz, MSU Extension:</t>
        </r>
        <r>
          <rPr>
            <sz val="9"/>
            <color indexed="81"/>
            <rFont val="Tahoma"/>
            <family val="2"/>
          </rPr>
          <t xml:space="preserve">
This cell has a formula but can be overwritten</t>
        </r>
      </text>
    </comment>
    <comment ref="O119" authorId="1">
      <text>
        <r>
          <rPr>
            <b/>
            <sz val="9"/>
            <color indexed="81"/>
            <rFont val="Tahoma"/>
            <family val="2"/>
          </rPr>
          <t>Roger Betz, MSU Extension:</t>
        </r>
        <r>
          <rPr>
            <sz val="9"/>
            <color indexed="81"/>
            <rFont val="Tahoma"/>
            <family val="2"/>
          </rPr>
          <t xml:space="preserve">
This cell has a formula but can be overwritten</t>
        </r>
      </text>
    </comment>
    <comment ref="Q119" authorId="1">
      <text>
        <r>
          <rPr>
            <b/>
            <sz val="9"/>
            <color indexed="81"/>
            <rFont val="Tahoma"/>
            <family val="2"/>
          </rPr>
          <t>Roger Betz, MSU Extension:</t>
        </r>
        <r>
          <rPr>
            <sz val="9"/>
            <color indexed="81"/>
            <rFont val="Tahoma"/>
            <family val="2"/>
          </rPr>
          <t xml:space="preserve">
This cell has a formula but can be overwritten</t>
        </r>
      </text>
    </comment>
    <comment ref="S119" authorId="1">
      <text>
        <r>
          <rPr>
            <b/>
            <sz val="9"/>
            <color indexed="81"/>
            <rFont val="Tahoma"/>
            <family val="2"/>
          </rPr>
          <t>Roger Betz, MSU Extension:</t>
        </r>
        <r>
          <rPr>
            <sz val="9"/>
            <color indexed="81"/>
            <rFont val="Tahoma"/>
            <family val="2"/>
          </rPr>
          <t xml:space="preserve">
This cell has a formula but can be overwritten</t>
        </r>
      </text>
    </comment>
    <comment ref="U119" authorId="1">
      <text>
        <r>
          <rPr>
            <b/>
            <sz val="9"/>
            <color indexed="81"/>
            <rFont val="Tahoma"/>
            <family val="2"/>
          </rPr>
          <t>Roger Betz, MSU Extension:</t>
        </r>
        <r>
          <rPr>
            <sz val="9"/>
            <color indexed="81"/>
            <rFont val="Tahoma"/>
            <family val="2"/>
          </rPr>
          <t xml:space="preserve">
This cell has a formula but can be overwritten</t>
        </r>
      </text>
    </comment>
    <comment ref="W119" authorId="1">
      <text>
        <r>
          <rPr>
            <b/>
            <sz val="9"/>
            <color indexed="81"/>
            <rFont val="Tahoma"/>
            <family val="2"/>
          </rPr>
          <t>Roger Betz, MSU Extension:</t>
        </r>
        <r>
          <rPr>
            <sz val="9"/>
            <color indexed="81"/>
            <rFont val="Tahoma"/>
            <family val="2"/>
          </rPr>
          <t xml:space="preserve">
This cell has a formula but can be overwritten</t>
        </r>
      </text>
    </comment>
    <comment ref="O120" authorId="1">
      <text>
        <r>
          <rPr>
            <b/>
            <sz val="9"/>
            <color indexed="81"/>
            <rFont val="Tahoma"/>
            <family val="2"/>
          </rPr>
          <t>Roger Betz, MSU Extension:</t>
        </r>
        <r>
          <rPr>
            <sz val="9"/>
            <color indexed="81"/>
            <rFont val="Tahoma"/>
            <family val="2"/>
          </rPr>
          <t xml:space="preserve">
This cell has a formula but can be overwritten</t>
        </r>
      </text>
    </comment>
    <comment ref="Q120" authorId="1">
      <text>
        <r>
          <rPr>
            <b/>
            <sz val="9"/>
            <color indexed="81"/>
            <rFont val="Tahoma"/>
            <family val="2"/>
          </rPr>
          <t>Roger Betz, MSU Extension:</t>
        </r>
        <r>
          <rPr>
            <sz val="9"/>
            <color indexed="81"/>
            <rFont val="Tahoma"/>
            <family val="2"/>
          </rPr>
          <t xml:space="preserve">
This cell has a formula but can be overwritten</t>
        </r>
      </text>
    </comment>
    <comment ref="S120" authorId="1">
      <text>
        <r>
          <rPr>
            <b/>
            <sz val="9"/>
            <color indexed="81"/>
            <rFont val="Tahoma"/>
            <family val="2"/>
          </rPr>
          <t>Roger Betz, MSU Extension:</t>
        </r>
        <r>
          <rPr>
            <sz val="9"/>
            <color indexed="81"/>
            <rFont val="Tahoma"/>
            <family val="2"/>
          </rPr>
          <t xml:space="preserve">
This cell has a formula but can be overwritten</t>
        </r>
      </text>
    </comment>
    <comment ref="U120" authorId="1">
      <text>
        <r>
          <rPr>
            <b/>
            <sz val="9"/>
            <color indexed="81"/>
            <rFont val="Tahoma"/>
            <family val="2"/>
          </rPr>
          <t>Roger Betz, MSU Extension:</t>
        </r>
        <r>
          <rPr>
            <sz val="9"/>
            <color indexed="81"/>
            <rFont val="Tahoma"/>
            <family val="2"/>
          </rPr>
          <t xml:space="preserve">
This cell has a formula but can be overwritten</t>
        </r>
      </text>
    </comment>
    <comment ref="W120" authorId="1">
      <text>
        <r>
          <rPr>
            <b/>
            <sz val="9"/>
            <color indexed="81"/>
            <rFont val="Tahoma"/>
            <family val="2"/>
          </rPr>
          <t>Roger Betz, MSU Extension:</t>
        </r>
        <r>
          <rPr>
            <sz val="9"/>
            <color indexed="81"/>
            <rFont val="Tahoma"/>
            <family val="2"/>
          </rPr>
          <t xml:space="preserve">
This cell has a formula but can be overwritten</t>
        </r>
      </text>
    </comment>
    <comment ref="O121" authorId="1">
      <text>
        <r>
          <rPr>
            <b/>
            <sz val="9"/>
            <color indexed="81"/>
            <rFont val="Tahoma"/>
            <family val="2"/>
          </rPr>
          <t>Roger Betz, MSU Extension:</t>
        </r>
        <r>
          <rPr>
            <sz val="9"/>
            <color indexed="81"/>
            <rFont val="Tahoma"/>
            <family val="2"/>
          </rPr>
          <t xml:space="preserve">
This cell has a formula but can be overwritten</t>
        </r>
      </text>
    </comment>
    <comment ref="Q121" authorId="1">
      <text>
        <r>
          <rPr>
            <b/>
            <sz val="9"/>
            <color indexed="81"/>
            <rFont val="Tahoma"/>
            <family val="2"/>
          </rPr>
          <t>Roger Betz, MSU Extension:</t>
        </r>
        <r>
          <rPr>
            <sz val="9"/>
            <color indexed="81"/>
            <rFont val="Tahoma"/>
            <family val="2"/>
          </rPr>
          <t xml:space="preserve">
This cell has a formula but can be overwritten</t>
        </r>
      </text>
    </comment>
    <comment ref="S121" authorId="1">
      <text>
        <r>
          <rPr>
            <b/>
            <sz val="9"/>
            <color indexed="81"/>
            <rFont val="Tahoma"/>
            <family val="2"/>
          </rPr>
          <t>Roger Betz, MSU Extension:</t>
        </r>
        <r>
          <rPr>
            <sz val="9"/>
            <color indexed="81"/>
            <rFont val="Tahoma"/>
            <family val="2"/>
          </rPr>
          <t xml:space="preserve">
This cell has a formula but can be overwritten</t>
        </r>
      </text>
    </comment>
    <comment ref="U121" authorId="1">
      <text>
        <r>
          <rPr>
            <b/>
            <sz val="9"/>
            <color indexed="81"/>
            <rFont val="Tahoma"/>
            <family val="2"/>
          </rPr>
          <t>Roger Betz, MSU Extension:</t>
        </r>
        <r>
          <rPr>
            <sz val="9"/>
            <color indexed="81"/>
            <rFont val="Tahoma"/>
            <family val="2"/>
          </rPr>
          <t xml:space="preserve">
This cell has a formula but can be overwritten</t>
        </r>
      </text>
    </comment>
    <comment ref="W121" authorId="1">
      <text>
        <r>
          <rPr>
            <b/>
            <sz val="9"/>
            <color indexed="81"/>
            <rFont val="Tahoma"/>
            <family val="2"/>
          </rPr>
          <t>Roger Betz, MSU Extension:</t>
        </r>
        <r>
          <rPr>
            <sz val="9"/>
            <color indexed="81"/>
            <rFont val="Tahoma"/>
            <family val="2"/>
          </rPr>
          <t xml:space="preserve">
This cell has a formula but can be overwritten</t>
        </r>
      </text>
    </comment>
    <comment ref="O124" authorId="0">
      <text>
        <r>
          <rPr>
            <b/>
            <sz val="9"/>
            <color indexed="81"/>
            <rFont val="Tahoma"/>
            <family val="2"/>
          </rPr>
          <t>Betz:</t>
        </r>
        <r>
          <rPr>
            <sz val="9"/>
            <color indexed="81"/>
            <rFont val="Tahoma"/>
            <family val="2"/>
          </rPr>
          <t xml:space="preserve">
This cost is defaulted to the stalls for Preg-Gestation Sows
</t>
        </r>
      </text>
    </comment>
    <comment ref="Q124" authorId="0">
      <text>
        <r>
          <rPr>
            <b/>
            <sz val="9"/>
            <color indexed="81"/>
            <rFont val="Tahoma"/>
            <family val="2"/>
          </rPr>
          <t>Betz:</t>
        </r>
        <r>
          <rPr>
            <sz val="9"/>
            <color indexed="81"/>
            <rFont val="Tahoma"/>
            <family val="2"/>
          </rPr>
          <t xml:space="preserve">
This cost is defaulted to the stalls for Preg-Gestation Sows
</t>
        </r>
      </text>
    </comment>
    <comment ref="S124" authorId="0">
      <text>
        <r>
          <rPr>
            <b/>
            <sz val="9"/>
            <color indexed="81"/>
            <rFont val="Tahoma"/>
            <family val="2"/>
          </rPr>
          <t>Betz:</t>
        </r>
        <r>
          <rPr>
            <sz val="9"/>
            <color indexed="81"/>
            <rFont val="Tahoma"/>
            <family val="2"/>
          </rPr>
          <t xml:space="preserve">
This cost is defaulted to the stalls for Preg-Gestation Sows
</t>
        </r>
      </text>
    </comment>
    <comment ref="U124" authorId="0">
      <text>
        <r>
          <rPr>
            <b/>
            <sz val="9"/>
            <color indexed="81"/>
            <rFont val="Tahoma"/>
            <family val="2"/>
          </rPr>
          <t>Betz:</t>
        </r>
        <r>
          <rPr>
            <sz val="9"/>
            <color indexed="81"/>
            <rFont val="Tahoma"/>
            <family val="2"/>
          </rPr>
          <t xml:space="preserve">
This cost is defaulted to the stalls for Preg-Gestation Sows
</t>
        </r>
      </text>
    </comment>
    <comment ref="W124" authorId="0">
      <text>
        <r>
          <rPr>
            <b/>
            <sz val="9"/>
            <color indexed="81"/>
            <rFont val="Tahoma"/>
            <family val="2"/>
          </rPr>
          <t>Betz:</t>
        </r>
        <r>
          <rPr>
            <sz val="9"/>
            <color indexed="81"/>
            <rFont val="Tahoma"/>
            <family val="2"/>
          </rPr>
          <t xml:space="preserve">
This cost is defaulted to the stalls for Preg-Gestation Sows
</t>
        </r>
      </text>
    </comment>
    <comment ref="O125" authorId="1">
      <text>
        <r>
          <rPr>
            <b/>
            <sz val="9"/>
            <color indexed="81"/>
            <rFont val="Tahoma"/>
            <family val="2"/>
          </rPr>
          <t>Roger Betz, MSU Extension:</t>
        </r>
        <r>
          <rPr>
            <sz val="9"/>
            <color indexed="81"/>
            <rFont val="Tahoma"/>
            <family val="2"/>
          </rPr>
          <t xml:space="preserve">
This cell has a formula but can be overwritten</t>
        </r>
      </text>
    </comment>
    <comment ref="Q125" authorId="1">
      <text>
        <r>
          <rPr>
            <b/>
            <sz val="9"/>
            <color indexed="81"/>
            <rFont val="Tahoma"/>
            <family val="2"/>
          </rPr>
          <t>Roger Betz, MSU Extension:</t>
        </r>
        <r>
          <rPr>
            <sz val="9"/>
            <color indexed="81"/>
            <rFont val="Tahoma"/>
            <family val="2"/>
          </rPr>
          <t xml:space="preserve">
This cell has a formula but can be overwritten</t>
        </r>
      </text>
    </comment>
    <comment ref="S125" authorId="1">
      <text>
        <r>
          <rPr>
            <b/>
            <sz val="9"/>
            <color indexed="81"/>
            <rFont val="Tahoma"/>
            <family val="2"/>
          </rPr>
          <t>Roger Betz, MSU Extension:</t>
        </r>
        <r>
          <rPr>
            <sz val="9"/>
            <color indexed="81"/>
            <rFont val="Tahoma"/>
            <family val="2"/>
          </rPr>
          <t xml:space="preserve">
This cell has a formula but can be overwritten</t>
        </r>
      </text>
    </comment>
    <comment ref="U125" authorId="1">
      <text>
        <r>
          <rPr>
            <b/>
            <sz val="9"/>
            <color indexed="81"/>
            <rFont val="Tahoma"/>
            <family val="2"/>
          </rPr>
          <t>Roger Betz, MSU Extension:</t>
        </r>
        <r>
          <rPr>
            <sz val="9"/>
            <color indexed="81"/>
            <rFont val="Tahoma"/>
            <family val="2"/>
          </rPr>
          <t xml:space="preserve">
This cell has a formula but can be overwritten</t>
        </r>
      </text>
    </comment>
    <comment ref="W125" authorId="1">
      <text>
        <r>
          <rPr>
            <b/>
            <sz val="9"/>
            <color indexed="81"/>
            <rFont val="Tahoma"/>
            <family val="2"/>
          </rPr>
          <t>Roger Betz, MSU Extension:</t>
        </r>
        <r>
          <rPr>
            <sz val="9"/>
            <color indexed="81"/>
            <rFont val="Tahoma"/>
            <family val="2"/>
          </rPr>
          <t xml:space="preserve">
This cell has a formula but can be overwritten</t>
        </r>
      </text>
    </comment>
    <comment ref="O128" authorId="1">
      <text>
        <r>
          <rPr>
            <b/>
            <sz val="9"/>
            <color indexed="81"/>
            <rFont val="Tahoma"/>
            <family val="2"/>
          </rPr>
          <t>Roger Betz, MSU Extension:</t>
        </r>
        <r>
          <rPr>
            <sz val="9"/>
            <color indexed="81"/>
            <rFont val="Tahoma"/>
            <family val="2"/>
          </rPr>
          <t xml:space="preserve">
This cell has a formula but can be overwritten</t>
        </r>
      </text>
    </comment>
    <comment ref="Q128" authorId="1">
      <text>
        <r>
          <rPr>
            <b/>
            <sz val="9"/>
            <color indexed="81"/>
            <rFont val="Tahoma"/>
            <family val="2"/>
          </rPr>
          <t>Roger Betz, MSU Extension:</t>
        </r>
        <r>
          <rPr>
            <sz val="9"/>
            <color indexed="81"/>
            <rFont val="Tahoma"/>
            <family val="2"/>
          </rPr>
          <t xml:space="preserve">
This cell has a formula but can be overwritten</t>
        </r>
      </text>
    </comment>
    <comment ref="S128" authorId="1">
      <text>
        <r>
          <rPr>
            <b/>
            <sz val="9"/>
            <color indexed="81"/>
            <rFont val="Tahoma"/>
            <family val="2"/>
          </rPr>
          <t>Roger Betz, MSU Extension:</t>
        </r>
        <r>
          <rPr>
            <sz val="9"/>
            <color indexed="81"/>
            <rFont val="Tahoma"/>
            <family val="2"/>
          </rPr>
          <t xml:space="preserve">
This cell has a formula but can be overwritten</t>
        </r>
      </text>
    </comment>
    <comment ref="U128" authorId="1">
      <text>
        <r>
          <rPr>
            <b/>
            <sz val="9"/>
            <color indexed="81"/>
            <rFont val="Tahoma"/>
            <family val="2"/>
          </rPr>
          <t>Roger Betz, MSU Extension:</t>
        </r>
        <r>
          <rPr>
            <sz val="9"/>
            <color indexed="81"/>
            <rFont val="Tahoma"/>
            <family val="2"/>
          </rPr>
          <t xml:space="preserve">
This cell has a formula but can be overwritten</t>
        </r>
      </text>
    </comment>
    <comment ref="W128" authorId="1">
      <text>
        <r>
          <rPr>
            <b/>
            <sz val="9"/>
            <color indexed="81"/>
            <rFont val="Tahoma"/>
            <family val="2"/>
          </rPr>
          <t>Roger Betz, MSU Extension:</t>
        </r>
        <r>
          <rPr>
            <sz val="9"/>
            <color indexed="81"/>
            <rFont val="Tahoma"/>
            <family val="2"/>
          </rPr>
          <t xml:space="preserve">
This cell has a formula but can be overwritten</t>
        </r>
      </text>
    </comment>
    <comment ref="O131" authorId="1">
      <text>
        <r>
          <rPr>
            <b/>
            <sz val="9"/>
            <color indexed="81"/>
            <rFont val="Tahoma"/>
            <family val="2"/>
          </rPr>
          <t>Roger Betz, MSU Extension:</t>
        </r>
        <r>
          <rPr>
            <sz val="9"/>
            <color indexed="81"/>
            <rFont val="Tahoma"/>
            <family val="2"/>
          </rPr>
          <t xml:space="preserve">
This cell has a formula but can be overwritten</t>
        </r>
      </text>
    </comment>
    <comment ref="Q131" authorId="1">
      <text>
        <r>
          <rPr>
            <b/>
            <sz val="9"/>
            <color indexed="81"/>
            <rFont val="Tahoma"/>
            <family val="2"/>
          </rPr>
          <t>Roger Betz, MSU Extension:</t>
        </r>
        <r>
          <rPr>
            <sz val="9"/>
            <color indexed="81"/>
            <rFont val="Tahoma"/>
            <family val="2"/>
          </rPr>
          <t xml:space="preserve">
This cell has a formula but can be overwritten</t>
        </r>
      </text>
    </comment>
    <comment ref="S131" authorId="1">
      <text>
        <r>
          <rPr>
            <b/>
            <sz val="9"/>
            <color indexed="81"/>
            <rFont val="Tahoma"/>
            <family val="2"/>
          </rPr>
          <t>Roger Betz, MSU Extension:</t>
        </r>
        <r>
          <rPr>
            <sz val="9"/>
            <color indexed="81"/>
            <rFont val="Tahoma"/>
            <family val="2"/>
          </rPr>
          <t xml:space="preserve">
This cell has a formula but can be overwritten</t>
        </r>
      </text>
    </comment>
    <comment ref="U131" authorId="1">
      <text>
        <r>
          <rPr>
            <b/>
            <sz val="9"/>
            <color indexed="81"/>
            <rFont val="Tahoma"/>
            <family val="2"/>
          </rPr>
          <t>Roger Betz, MSU Extension:</t>
        </r>
        <r>
          <rPr>
            <sz val="9"/>
            <color indexed="81"/>
            <rFont val="Tahoma"/>
            <family val="2"/>
          </rPr>
          <t xml:space="preserve">
This cell has a formula but can be overwritten</t>
        </r>
      </text>
    </comment>
    <comment ref="W131" authorId="1">
      <text>
        <r>
          <rPr>
            <b/>
            <sz val="9"/>
            <color indexed="81"/>
            <rFont val="Tahoma"/>
            <family val="2"/>
          </rPr>
          <t>Roger Betz, MSU Extension:</t>
        </r>
        <r>
          <rPr>
            <sz val="9"/>
            <color indexed="81"/>
            <rFont val="Tahoma"/>
            <family val="2"/>
          </rPr>
          <t xml:space="preserve">
This cell has a formula but can be overwritten</t>
        </r>
      </text>
    </comment>
    <comment ref="O132" authorId="1">
      <text>
        <r>
          <rPr>
            <b/>
            <sz val="9"/>
            <color indexed="81"/>
            <rFont val="Tahoma"/>
            <family val="2"/>
          </rPr>
          <t>Roger Betz, MSU Extension:</t>
        </r>
        <r>
          <rPr>
            <sz val="9"/>
            <color indexed="81"/>
            <rFont val="Tahoma"/>
            <family val="2"/>
          </rPr>
          <t xml:space="preserve">
This cell has a formula but can be overwritten</t>
        </r>
      </text>
    </comment>
    <comment ref="Q132" authorId="1">
      <text>
        <r>
          <rPr>
            <b/>
            <sz val="9"/>
            <color indexed="81"/>
            <rFont val="Tahoma"/>
            <family val="2"/>
          </rPr>
          <t>Roger Betz, MSU Extension:</t>
        </r>
        <r>
          <rPr>
            <sz val="9"/>
            <color indexed="81"/>
            <rFont val="Tahoma"/>
            <family val="2"/>
          </rPr>
          <t xml:space="preserve">
This cell has a formula but can be overwritten</t>
        </r>
      </text>
    </comment>
    <comment ref="S132" authorId="1">
      <text>
        <r>
          <rPr>
            <b/>
            <sz val="9"/>
            <color indexed="81"/>
            <rFont val="Tahoma"/>
            <family val="2"/>
          </rPr>
          <t>Roger Betz, MSU Extension:</t>
        </r>
        <r>
          <rPr>
            <sz val="9"/>
            <color indexed="81"/>
            <rFont val="Tahoma"/>
            <family val="2"/>
          </rPr>
          <t xml:space="preserve">
This cell has a formula but can be overwritten</t>
        </r>
      </text>
    </comment>
    <comment ref="U132" authorId="1">
      <text>
        <r>
          <rPr>
            <b/>
            <sz val="9"/>
            <color indexed="81"/>
            <rFont val="Tahoma"/>
            <family val="2"/>
          </rPr>
          <t>Roger Betz, MSU Extension:</t>
        </r>
        <r>
          <rPr>
            <sz val="9"/>
            <color indexed="81"/>
            <rFont val="Tahoma"/>
            <family val="2"/>
          </rPr>
          <t xml:space="preserve">
This cell has a formula but can be overwritten</t>
        </r>
      </text>
    </comment>
    <comment ref="W132" authorId="1">
      <text>
        <r>
          <rPr>
            <b/>
            <sz val="9"/>
            <color indexed="81"/>
            <rFont val="Tahoma"/>
            <family val="2"/>
          </rPr>
          <t>Roger Betz, MSU Extension:</t>
        </r>
        <r>
          <rPr>
            <sz val="9"/>
            <color indexed="81"/>
            <rFont val="Tahoma"/>
            <family val="2"/>
          </rPr>
          <t xml:space="preserve">
This cell has a formula but can be overwritten</t>
        </r>
      </text>
    </comment>
    <comment ref="B147" authorId="1">
      <text>
        <r>
          <rPr>
            <b/>
            <sz val="9"/>
            <color indexed="81"/>
            <rFont val="Tahoma"/>
            <family val="2"/>
          </rPr>
          <t>Roger Betz, MSU Extension:</t>
        </r>
        <r>
          <rPr>
            <sz val="9"/>
            <color indexed="81"/>
            <rFont val="Tahoma"/>
            <family val="2"/>
          </rPr>
          <t xml:space="preserve">
This is the cost for the system between moving sows from farrowing room back to farrowing room.</t>
        </r>
      </text>
    </comment>
    <comment ref="O148" authorId="1">
      <text>
        <r>
          <rPr>
            <b/>
            <sz val="9"/>
            <color indexed="81"/>
            <rFont val="Tahoma"/>
            <family val="2"/>
          </rPr>
          <t>Roger Betz, MSU Extension:</t>
        </r>
        <r>
          <rPr>
            <sz val="9"/>
            <color indexed="81"/>
            <rFont val="Tahoma"/>
            <family val="2"/>
          </rPr>
          <t xml:space="preserve">
These cost are defaulted to the same cost per sow per year as the existing cost
</t>
        </r>
      </text>
    </comment>
  </commentList>
</comments>
</file>

<file path=xl/comments4.xml><?xml version="1.0" encoding="utf-8"?>
<comments xmlns="http://schemas.openxmlformats.org/spreadsheetml/2006/main">
  <authors>
    <author>betz</author>
    <author>Roger Betz, MSU Extension</author>
  </authors>
  <commentList>
    <comment ref="K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4"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4"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K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5"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5"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K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M66" authorId="0">
      <text>
        <r>
          <rPr>
            <b/>
            <sz val="9"/>
            <color indexed="81"/>
            <rFont val="Tahoma"/>
            <family val="2"/>
          </rPr>
          <t>Betz:</t>
        </r>
        <r>
          <rPr>
            <sz val="9"/>
            <color indexed="81"/>
            <rFont val="Tahoma"/>
            <family val="2"/>
          </rPr>
          <t xml:space="preserve">
A CAUTION!  will appear if any of the Square Feet in any of the 3 female groups or system alternatives have a value less than 14 unless you have the corresponding female grouped not checked YES in Section 6.  The program will not properly represent the estimated cost for a female group if there is not a valid Square feet per female value.
If it is desired to evaluate only a particular group of females then enter square ft for only that/those group/s of females.
The values on lines 64, 65, and 66 need to be consistent to the choices on lines 95, 96, and 97.</t>
        </r>
      </text>
    </comment>
    <comment ref="O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Q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S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U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W66" authorId="0">
      <text>
        <r>
          <rPr>
            <b/>
            <sz val="9"/>
            <color indexed="81"/>
            <rFont val="Tahoma"/>
            <family val="2"/>
          </rPr>
          <t>Betz:</t>
        </r>
        <r>
          <rPr>
            <sz val="9"/>
            <color indexed="81"/>
            <rFont val="Tahoma"/>
            <family val="2"/>
          </rPr>
          <t xml:space="preserve">
Input the Square feet per animal if you want to analyze building or remodeling using this space. 
Use 0 if you do not want to include this space in the calculations.</t>
        </r>
      </text>
    </comment>
    <comment ref="I71" authorId="1">
      <text>
        <r>
          <rPr>
            <b/>
            <sz val="9"/>
            <color indexed="81"/>
            <rFont val="Tahoma"/>
            <family val="2"/>
          </rPr>
          <t>Roger Betz, MSU Extension:
Compare this to actual building sizes to help determine if square feet per sow/gilt values are consistent. 
Housing space for sow gestation, pre-gestation and replacement gilts are added together. Will only add square feet if are entered in lines 64,65 and 66.</t>
        </r>
      </text>
    </comment>
    <comment ref="O107" authorId="1">
      <text>
        <r>
          <rPr>
            <b/>
            <sz val="9"/>
            <color indexed="81"/>
            <rFont val="Tahoma"/>
            <family val="2"/>
          </rPr>
          <t>Roger Betz, MSU Extension:</t>
        </r>
        <r>
          <rPr>
            <sz val="9"/>
            <color indexed="81"/>
            <rFont val="Tahoma"/>
            <family val="2"/>
          </rPr>
          <t xml:space="preserve">
This cell has a formula but can be overwritten</t>
        </r>
      </text>
    </comment>
    <comment ref="Q107" authorId="1">
      <text>
        <r>
          <rPr>
            <b/>
            <sz val="9"/>
            <color indexed="81"/>
            <rFont val="Tahoma"/>
            <family val="2"/>
          </rPr>
          <t>Roger Betz, MSU Extension:</t>
        </r>
        <r>
          <rPr>
            <sz val="9"/>
            <color indexed="81"/>
            <rFont val="Tahoma"/>
            <family val="2"/>
          </rPr>
          <t xml:space="preserve">
This cell has a formula but can be overwritten</t>
        </r>
      </text>
    </comment>
    <comment ref="S107" authorId="1">
      <text>
        <r>
          <rPr>
            <b/>
            <sz val="9"/>
            <color indexed="81"/>
            <rFont val="Tahoma"/>
            <family val="2"/>
          </rPr>
          <t>Roger Betz, MSU Extension:</t>
        </r>
        <r>
          <rPr>
            <sz val="9"/>
            <color indexed="81"/>
            <rFont val="Tahoma"/>
            <family val="2"/>
          </rPr>
          <t xml:space="preserve">
This cell has a formula but can be overwritten</t>
        </r>
      </text>
    </comment>
    <comment ref="U107" authorId="1">
      <text>
        <r>
          <rPr>
            <b/>
            <sz val="9"/>
            <color indexed="81"/>
            <rFont val="Tahoma"/>
            <family val="2"/>
          </rPr>
          <t>Roger Betz, MSU Extension:</t>
        </r>
        <r>
          <rPr>
            <sz val="9"/>
            <color indexed="81"/>
            <rFont val="Tahoma"/>
            <family val="2"/>
          </rPr>
          <t xml:space="preserve">
This cell has a formula but can be overwritten</t>
        </r>
      </text>
    </comment>
    <comment ref="W107" authorId="1">
      <text>
        <r>
          <rPr>
            <b/>
            <sz val="9"/>
            <color indexed="81"/>
            <rFont val="Tahoma"/>
            <family val="2"/>
          </rPr>
          <t>Roger Betz, MSU Extension:</t>
        </r>
        <r>
          <rPr>
            <sz val="9"/>
            <color indexed="81"/>
            <rFont val="Tahoma"/>
            <family val="2"/>
          </rPr>
          <t xml:space="preserve">
This cell has a formula but can be overwritten</t>
        </r>
      </text>
    </comment>
    <comment ref="O108" authorId="1">
      <text>
        <r>
          <rPr>
            <b/>
            <sz val="9"/>
            <color indexed="81"/>
            <rFont val="Tahoma"/>
            <family val="2"/>
          </rPr>
          <t>Roger Betz, MSU Extension:</t>
        </r>
        <r>
          <rPr>
            <sz val="9"/>
            <color indexed="81"/>
            <rFont val="Tahoma"/>
            <family val="2"/>
          </rPr>
          <t xml:space="preserve">
This cell has a formula but can be overwritten</t>
        </r>
      </text>
    </comment>
    <comment ref="Q108" authorId="1">
      <text>
        <r>
          <rPr>
            <b/>
            <sz val="9"/>
            <color indexed="81"/>
            <rFont val="Tahoma"/>
            <family val="2"/>
          </rPr>
          <t>Roger Betz, MSU Extension:</t>
        </r>
        <r>
          <rPr>
            <sz val="9"/>
            <color indexed="81"/>
            <rFont val="Tahoma"/>
            <family val="2"/>
          </rPr>
          <t xml:space="preserve">
This cell has a formula but can be overwritten</t>
        </r>
      </text>
    </comment>
    <comment ref="S108" authorId="1">
      <text>
        <r>
          <rPr>
            <b/>
            <sz val="9"/>
            <color indexed="81"/>
            <rFont val="Tahoma"/>
            <family val="2"/>
          </rPr>
          <t>Roger Betz, MSU Extension:</t>
        </r>
        <r>
          <rPr>
            <sz val="9"/>
            <color indexed="81"/>
            <rFont val="Tahoma"/>
            <family val="2"/>
          </rPr>
          <t xml:space="preserve">
This cell has a formula but can be overwritten</t>
        </r>
      </text>
    </comment>
    <comment ref="U108" authorId="1">
      <text>
        <r>
          <rPr>
            <b/>
            <sz val="9"/>
            <color indexed="81"/>
            <rFont val="Tahoma"/>
            <family val="2"/>
          </rPr>
          <t>Roger Betz, MSU Extension:</t>
        </r>
        <r>
          <rPr>
            <sz val="9"/>
            <color indexed="81"/>
            <rFont val="Tahoma"/>
            <family val="2"/>
          </rPr>
          <t xml:space="preserve">
This cell has a formula but can be overwritten</t>
        </r>
      </text>
    </comment>
    <comment ref="W108" authorId="1">
      <text>
        <r>
          <rPr>
            <b/>
            <sz val="9"/>
            <color indexed="81"/>
            <rFont val="Tahoma"/>
            <family val="2"/>
          </rPr>
          <t>Roger Betz, MSU Extension:</t>
        </r>
        <r>
          <rPr>
            <sz val="9"/>
            <color indexed="81"/>
            <rFont val="Tahoma"/>
            <family val="2"/>
          </rPr>
          <t xml:space="preserve">
This cell has a formula but can be overwritten</t>
        </r>
      </text>
    </comment>
    <comment ref="O109" authorId="1">
      <text>
        <r>
          <rPr>
            <b/>
            <sz val="9"/>
            <color indexed="81"/>
            <rFont val="Tahoma"/>
            <family val="2"/>
          </rPr>
          <t>Roger Betz, MSU Extension:</t>
        </r>
        <r>
          <rPr>
            <sz val="9"/>
            <color indexed="81"/>
            <rFont val="Tahoma"/>
            <family val="2"/>
          </rPr>
          <t xml:space="preserve">
This cell has a formula but can be overwritten</t>
        </r>
      </text>
    </comment>
    <comment ref="Q109" authorId="1">
      <text>
        <r>
          <rPr>
            <b/>
            <sz val="9"/>
            <color indexed="81"/>
            <rFont val="Tahoma"/>
            <family val="2"/>
          </rPr>
          <t>Roger Betz, MSU Extension:</t>
        </r>
        <r>
          <rPr>
            <sz val="9"/>
            <color indexed="81"/>
            <rFont val="Tahoma"/>
            <family val="2"/>
          </rPr>
          <t xml:space="preserve">
This cell has a formula but can be overwritten</t>
        </r>
      </text>
    </comment>
    <comment ref="S109" authorId="1">
      <text>
        <r>
          <rPr>
            <b/>
            <sz val="9"/>
            <color indexed="81"/>
            <rFont val="Tahoma"/>
            <family val="2"/>
          </rPr>
          <t>Roger Betz, MSU Extension:</t>
        </r>
        <r>
          <rPr>
            <sz val="9"/>
            <color indexed="81"/>
            <rFont val="Tahoma"/>
            <family val="2"/>
          </rPr>
          <t xml:space="preserve">
This cell has a formula but can be overwritten</t>
        </r>
      </text>
    </comment>
    <comment ref="U109" authorId="1">
      <text>
        <r>
          <rPr>
            <b/>
            <sz val="9"/>
            <color indexed="81"/>
            <rFont val="Tahoma"/>
            <family val="2"/>
          </rPr>
          <t>Roger Betz, MSU Extension:</t>
        </r>
        <r>
          <rPr>
            <sz val="9"/>
            <color indexed="81"/>
            <rFont val="Tahoma"/>
            <family val="2"/>
          </rPr>
          <t xml:space="preserve">
This cell has a formula but can be overwritten</t>
        </r>
      </text>
    </comment>
    <comment ref="W109" authorId="1">
      <text>
        <r>
          <rPr>
            <b/>
            <sz val="9"/>
            <color indexed="81"/>
            <rFont val="Tahoma"/>
            <family val="2"/>
          </rPr>
          <t>Roger Betz, MSU Extension:</t>
        </r>
        <r>
          <rPr>
            <sz val="9"/>
            <color indexed="81"/>
            <rFont val="Tahoma"/>
            <family val="2"/>
          </rPr>
          <t xml:space="preserve">
This cell has a formula but can be overwritten</t>
        </r>
      </text>
    </comment>
    <comment ref="O110" authorId="1">
      <text>
        <r>
          <rPr>
            <b/>
            <sz val="9"/>
            <color indexed="81"/>
            <rFont val="Tahoma"/>
            <family val="2"/>
          </rPr>
          <t>Roger Betz, MSU Extension:</t>
        </r>
        <r>
          <rPr>
            <sz val="9"/>
            <color indexed="81"/>
            <rFont val="Tahoma"/>
            <family val="2"/>
          </rPr>
          <t xml:space="preserve">
This cell has a formula but can be overwritten</t>
        </r>
      </text>
    </comment>
    <comment ref="Q110" authorId="1">
      <text>
        <r>
          <rPr>
            <b/>
            <sz val="9"/>
            <color indexed="81"/>
            <rFont val="Tahoma"/>
            <family val="2"/>
          </rPr>
          <t>Roger Betz, MSU Extension:</t>
        </r>
        <r>
          <rPr>
            <sz val="9"/>
            <color indexed="81"/>
            <rFont val="Tahoma"/>
            <family val="2"/>
          </rPr>
          <t xml:space="preserve">
This cell has a formula but can be overwritten</t>
        </r>
      </text>
    </comment>
    <comment ref="S110" authorId="1">
      <text>
        <r>
          <rPr>
            <b/>
            <sz val="9"/>
            <color indexed="81"/>
            <rFont val="Tahoma"/>
            <family val="2"/>
          </rPr>
          <t>Roger Betz, MSU Extension:</t>
        </r>
        <r>
          <rPr>
            <sz val="9"/>
            <color indexed="81"/>
            <rFont val="Tahoma"/>
            <family val="2"/>
          </rPr>
          <t xml:space="preserve">
This cell has a formula but can be overwritten</t>
        </r>
      </text>
    </comment>
    <comment ref="U110" authorId="1">
      <text>
        <r>
          <rPr>
            <b/>
            <sz val="9"/>
            <color indexed="81"/>
            <rFont val="Tahoma"/>
            <family val="2"/>
          </rPr>
          <t>Roger Betz, MSU Extension:</t>
        </r>
        <r>
          <rPr>
            <sz val="9"/>
            <color indexed="81"/>
            <rFont val="Tahoma"/>
            <family val="2"/>
          </rPr>
          <t xml:space="preserve">
This cell has a formula but can be overwritten</t>
        </r>
      </text>
    </comment>
    <comment ref="W110" authorId="1">
      <text>
        <r>
          <rPr>
            <b/>
            <sz val="9"/>
            <color indexed="81"/>
            <rFont val="Tahoma"/>
            <family val="2"/>
          </rPr>
          <t>Roger Betz, MSU Extension:</t>
        </r>
        <r>
          <rPr>
            <sz val="9"/>
            <color indexed="81"/>
            <rFont val="Tahoma"/>
            <family val="2"/>
          </rPr>
          <t xml:space="preserve">
This cell has a formula but can be overwritten</t>
        </r>
      </text>
    </comment>
    <comment ref="O111" authorId="1">
      <text>
        <r>
          <rPr>
            <b/>
            <sz val="9"/>
            <color indexed="81"/>
            <rFont val="Tahoma"/>
            <family val="2"/>
          </rPr>
          <t>Roger Betz, MSU Extension:</t>
        </r>
        <r>
          <rPr>
            <sz val="9"/>
            <color indexed="81"/>
            <rFont val="Tahoma"/>
            <family val="2"/>
          </rPr>
          <t xml:space="preserve">
This cell has a formula but can be overwritten</t>
        </r>
      </text>
    </comment>
    <comment ref="Q111" authorId="1">
      <text>
        <r>
          <rPr>
            <b/>
            <sz val="9"/>
            <color indexed="81"/>
            <rFont val="Tahoma"/>
            <family val="2"/>
          </rPr>
          <t>Roger Betz, MSU Extension:</t>
        </r>
        <r>
          <rPr>
            <sz val="9"/>
            <color indexed="81"/>
            <rFont val="Tahoma"/>
            <family val="2"/>
          </rPr>
          <t xml:space="preserve">
This cell has a formula but can be overwritten</t>
        </r>
      </text>
    </comment>
    <comment ref="S111" authorId="1">
      <text>
        <r>
          <rPr>
            <b/>
            <sz val="9"/>
            <color indexed="81"/>
            <rFont val="Tahoma"/>
            <family val="2"/>
          </rPr>
          <t>Roger Betz, MSU Extension:</t>
        </r>
        <r>
          <rPr>
            <sz val="9"/>
            <color indexed="81"/>
            <rFont val="Tahoma"/>
            <family val="2"/>
          </rPr>
          <t xml:space="preserve">
This cell has a formula but can be overwritten</t>
        </r>
      </text>
    </comment>
    <comment ref="U111" authorId="1">
      <text>
        <r>
          <rPr>
            <b/>
            <sz val="9"/>
            <color indexed="81"/>
            <rFont val="Tahoma"/>
            <family val="2"/>
          </rPr>
          <t>Roger Betz, MSU Extension:</t>
        </r>
        <r>
          <rPr>
            <sz val="9"/>
            <color indexed="81"/>
            <rFont val="Tahoma"/>
            <family val="2"/>
          </rPr>
          <t xml:space="preserve">
This cell has a formula but can be overwritten</t>
        </r>
      </text>
    </comment>
    <comment ref="W111" authorId="1">
      <text>
        <r>
          <rPr>
            <b/>
            <sz val="9"/>
            <color indexed="81"/>
            <rFont val="Tahoma"/>
            <family val="2"/>
          </rPr>
          <t>Roger Betz, MSU Extension:</t>
        </r>
        <r>
          <rPr>
            <sz val="9"/>
            <color indexed="81"/>
            <rFont val="Tahoma"/>
            <family val="2"/>
          </rPr>
          <t xml:space="preserve">
This cell has a formula but can be overwritten</t>
        </r>
      </text>
    </comment>
    <comment ref="O112" authorId="1">
      <text>
        <r>
          <rPr>
            <b/>
            <sz val="9"/>
            <color indexed="81"/>
            <rFont val="Tahoma"/>
            <family val="2"/>
          </rPr>
          <t>Roger Betz, MSU Extension:</t>
        </r>
        <r>
          <rPr>
            <sz val="9"/>
            <color indexed="81"/>
            <rFont val="Tahoma"/>
            <family val="2"/>
          </rPr>
          <t xml:space="preserve">
This cell has a formula but can be overwritten</t>
        </r>
      </text>
    </comment>
    <comment ref="Q112" authorId="1">
      <text>
        <r>
          <rPr>
            <b/>
            <sz val="9"/>
            <color indexed="81"/>
            <rFont val="Tahoma"/>
            <family val="2"/>
          </rPr>
          <t>Roger Betz, MSU Extension:</t>
        </r>
        <r>
          <rPr>
            <sz val="9"/>
            <color indexed="81"/>
            <rFont val="Tahoma"/>
            <family val="2"/>
          </rPr>
          <t xml:space="preserve">
This cell has a formula but can be overwritten</t>
        </r>
      </text>
    </comment>
    <comment ref="S112" authorId="1">
      <text>
        <r>
          <rPr>
            <b/>
            <sz val="9"/>
            <color indexed="81"/>
            <rFont val="Tahoma"/>
            <family val="2"/>
          </rPr>
          <t>Roger Betz, MSU Extension:</t>
        </r>
        <r>
          <rPr>
            <sz val="9"/>
            <color indexed="81"/>
            <rFont val="Tahoma"/>
            <family val="2"/>
          </rPr>
          <t xml:space="preserve">
This cell has a formula but can be overwritten</t>
        </r>
      </text>
    </comment>
    <comment ref="U112" authorId="1">
      <text>
        <r>
          <rPr>
            <b/>
            <sz val="9"/>
            <color indexed="81"/>
            <rFont val="Tahoma"/>
            <family val="2"/>
          </rPr>
          <t>Roger Betz, MSU Extension:</t>
        </r>
        <r>
          <rPr>
            <sz val="9"/>
            <color indexed="81"/>
            <rFont val="Tahoma"/>
            <family val="2"/>
          </rPr>
          <t xml:space="preserve">
This cell has a formula but can be overwritten</t>
        </r>
      </text>
    </comment>
    <comment ref="W112" authorId="1">
      <text>
        <r>
          <rPr>
            <b/>
            <sz val="9"/>
            <color indexed="81"/>
            <rFont val="Tahoma"/>
            <family val="2"/>
          </rPr>
          <t>Roger Betz, MSU Extension:</t>
        </r>
        <r>
          <rPr>
            <sz val="9"/>
            <color indexed="81"/>
            <rFont val="Tahoma"/>
            <family val="2"/>
          </rPr>
          <t xml:space="preserve">
This cell has a formula but can be overwritten</t>
        </r>
      </text>
    </comment>
    <comment ref="O113" authorId="1">
      <text>
        <r>
          <rPr>
            <b/>
            <sz val="9"/>
            <color indexed="81"/>
            <rFont val="Tahoma"/>
            <family val="2"/>
          </rPr>
          <t>Roger Betz, MSU Extension:</t>
        </r>
        <r>
          <rPr>
            <sz val="9"/>
            <color indexed="81"/>
            <rFont val="Tahoma"/>
            <family val="2"/>
          </rPr>
          <t xml:space="preserve">
This cell has a formula but can be overwritten</t>
        </r>
      </text>
    </comment>
    <comment ref="Q113" authorId="1">
      <text>
        <r>
          <rPr>
            <b/>
            <sz val="9"/>
            <color indexed="81"/>
            <rFont val="Tahoma"/>
            <family val="2"/>
          </rPr>
          <t>Roger Betz, MSU Extension:</t>
        </r>
        <r>
          <rPr>
            <sz val="9"/>
            <color indexed="81"/>
            <rFont val="Tahoma"/>
            <family val="2"/>
          </rPr>
          <t xml:space="preserve">
This cell has a formula but can be overwritten</t>
        </r>
      </text>
    </comment>
    <comment ref="S113" authorId="1">
      <text>
        <r>
          <rPr>
            <b/>
            <sz val="9"/>
            <color indexed="81"/>
            <rFont val="Tahoma"/>
            <family val="2"/>
          </rPr>
          <t>Roger Betz, MSU Extension:</t>
        </r>
        <r>
          <rPr>
            <sz val="9"/>
            <color indexed="81"/>
            <rFont val="Tahoma"/>
            <family val="2"/>
          </rPr>
          <t xml:space="preserve">
This cell has a formula but can be overwritten</t>
        </r>
      </text>
    </comment>
    <comment ref="U113" authorId="1">
      <text>
        <r>
          <rPr>
            <b/>
            <sz val="9"/>
            <color indexed="81"/>
            <rFont val="Tahoma"/>
            <family val="2"/>
          </rPr>
          <t>Roger Betz, MSU Extension:</t>
        </r>
        <r>
          <rPr>
            <sz val="9"/>
            <color indexed="81"/>
            <rFont val="Tahoma"/>
            <family val="2"/>
          </rPr>
          <t xml:space="preserve">
This cell has a formula but can be overwritten</t>
        </r>
      </text>
    </comment>
    <comment ref="W113" authorId="1">
      <text>
        <r>
          <rPr>
            <b/>
            <sz val="9"/>
            <color indexed="81"/>
            <rFont val="Tahoma"/>
            <family val="2"/>
          </rPr>
          <t>Roger Betz, MSU Extension:</t>
        </r>
        <r>
          <rPr>
            <sz val="9"/>
            <color indexed="81"/>
            <rFont val="Tahoma"/>
            <family val="2"/>
          </rPr>
          <t xml:space="preserve">
This cell has a formula but can be overwritten</t>
        </r>
      </text>
    </comment>
    <comment ref="O114" authorId="1">
      <text>
        <r>
          <rPr>
            <b/>
            <sz val="9"/>
            <color indexed="81"/>
            <rFont val="Tahoma"/>
            <family val="2"/>
          </rPr>
          <t>Roger Betz, MSU Extension:</t>
        </r>
        <r>
          <rPr>
            <sz val="9"/>
            <color indexed="81"/>
            <rFont val="Tahoma"/>
            <family val="2"/>
          </rPr>
          <t xml:space="preserve">
This cell has a formula but can be overwritten</t>
        </r>
      </text>
    </comment>
    <comment ref="Q114" authorId="1">
      <text>
        <r>
          <rPr>
            <b/>
            <sz val="9"/>
            <color indexed="81"/>
            <rFont val="Tahoma"/>
            <family val="2"/>
          </rPr>
          <t>Roger Betz, MSU Extension:</t>
        </r>
        <r>
          <rPr>
            <sz val="9"/>
            <color indexed="81"/>
            <rFont val="Tahoma"/>
            <family val="2"/>
          </rPr>
          <t xml:space="preserve">
This cell has a formula but can be overwritten</t>
        </r>
      </text>
    </comment>
    <comment ref="S114" authorId="1">
      <text>
        <r>
          <rPr>
            <b/>
            <sz val="9"/>
            <color indexed="81"/>
            <rFont val="Tahoma"/>
            <family val="2"/>
          </rPr>
          <t>Roger Betz, MSU Extension:</t>
        </r>
        <r>
          <rPr>
            <sz val="9"/>
            <color indexed="81"/>
            <rFont val="Tahoma"/>
            <family val="2"/>
          </rPr>
          <t xml:space="preserve">
This cell has a formula but can be overwritten</t>
        </r>
      </text>
    </comment>
    <comment ref="U114" authorId="1">
      <text>
        <r>
          <rPr>
            <b/>
            <sz val="9"/>
            <color indexed="81"/>
            <rFont val="Tahoma"/>
            <family val="2"/>
          </rPr>
          <t>Roger Betz, MSU Extension:</t>
        </r>
        <r>
          <rPr>
            <sz val="9"/>
            <color indexed="81"/>
            <rFont val="Tahoma"/>
            <family val="2"/>
          </rPr>
          <t xml:space="preserve">
This cell has a formula but can be overwritten</t>
        </r>
      </text>
    </comment>
    <comment ref="W114" authorId="1">
      <text>
        <r>
          <rPr>
            <b/>
            <sz val="9"/>
            <color indexed="81"/>
            <rFont val="Tahoma"/>
            <family val="2"/>
          </rPr>
          <t>Roger Betz, MSU Extension:</t>
        </r>
        <r>
          <rPr>
            <sz val="9"/>
            <color indexed="81"/>
            <rFont val="Tahoma"/>
            <family val="2"/>
          </rPr>
          <t xml:space="preserve">
This cell has a formula but can be overwritten</t>
        </r>
      </text>
    </comment>
    <comment ref="O115" authorId="1">
      <text>
        <r>
          <rPr>
            <b/>
            <sz val="9"/>
            <color indexed="81"/>
            <rFont val="Tahoma"/>
            <family val="2"/>
          </rPr>
          <t>Roger Betz, MSU Extension:</t>
        </r>
        <r>
          <rPr>
            <sz val="9"/>
            <color indexed="81"/>
            <rFont val="Tahoma"/>
            <family val="2"/>
          </rPr>
          <t xml:space="preserve">
This cell has a formula but can be overwritten</t>
        </r>
      </text>
    </comment>
    <comment ref="Q115" authorId="1">
      <text>
        <r>
          <rPr>
            <b/>
            <sz val="9"/>
            <color indexed="81"/>
            <rFont val="Tahoma"/>
            <family val="2"/>
          </rPr>
          <t>Roger Betz, MSU Extension:</t>
        </r>
        <r>
          <rPr>
            <sz val="9"/>
            <color indexed="81"/>
            <rFont val="Tahoma"/>
            <family val="2"/>
          </rPr>
          <t xml:space="preserve">
This cell has a formula but can be overwritten</t>
        </r>
      </text>
    </comment>
    <comment ref="S115" authorId="1">
      <text>
        <r>
          <rPr>
            <b/>
            <sz val="9"/>
            <color indexed="81"/>
            <rFont val="Tahoma"/>
            <family val="2"/>
          </rPr>
          <t>Roger Betz, MSU Extension:</t>
        </r>
        <r>
          <rPr>
            <sz val="9"/>
            <color indexed="81"/>
            <rFont val="Tahoma"/>
            <family val="2"/>
          </rPr>
          <t xml:space="preserve">
This cell has a formula but can be overwritten</t>
        </r>
      </text>
    </comment>
    <comment ref="U115" authorId="1">
      <text>
        <r>
          <rPr>
            <b/>
            <sz val="9"/>
            <color indexed="81"/>
            <rFont val="Tahoma"/>
            <family val="2"/>
          </rPr>
          <t>Roger Betz, MSU Extension:</t>
        </r>
        <r>
          <rPr>
            <sz val="9"/>
            <color indexed="81"/>
            <rFont val="Tahoma"/>
            <family val="2"/>
          </rPr>
          <t xml:space="preserve">
This cell has a formula but can be overwritten</t>
        </r>
      </text>
    </comment>
    <comment ref="W115" authorId="1">
      <text>
        <r>
          <rPr>
            <b/>
            <sz val="9"/>
            <color indexed="81"/>
            <rFont val="Tahoma"/>
            <family val="2"/>
          </rPr>
          <t>Roger Betz, MSU Extension:</t>
        </r>
        <r>
          <rPr>
            <sz val="9"/>
            <color indexed="81"/>
            <rFont val="Tahoma"/>
            <family val="2"/>
          </rPr>
          <t xml:space="preserve">
This cell has a formula but can be overwritten</t>
        </r>
      </text>
    </comment>
    <comment ref="O116" authorId="1">
      <text>
        <r>
          <rPr>
            <b/>
            <sz val="9"/>
            <color indexed="81"/>
            <rFont val="Tahoma"/>
            <family val="2"/>
          </rPr>
          <t>Roger Betz, MSU Extension:</t>
        </r>
        <r>
          <rPr>
            <sz val="9"/>
            <color indexed="81"/>
            <rFont val="Tahoma"/>
            <family val="2"/>
          </rPr>
          <t xml:space="preserve">
This cell has a formula but can be overwritten</t>
        </r>
      </text>
    </comment>
    <comment ref="Q116" authorId="1">
      <text>
        <r>
          <rPr>
            <b/>
            <sz val="9"/>
            <color indexed="81"/>
            <rFont val="Tahoma"/>
            <family val="2"/>
          </rPr>
          <t>Roger Betz, MSU Extension:</t>
        </r>
        <r>
          <rPr>
            <sz val="9"/>
            <color indexed="81"/>
            <rFont val="Tahoma"/>
            <family val="2"/>
          </rPr>
          <t xml:space="preserve">
This cell has a formula but can be overwritten</t>
        </r>
      </text>
    </comment>
    <comment ref="S116" authorId="1">
      <text>
        <r>
          <rPr>
            <b/>
            <sz val="9"/>
            <color indexed="81"/>
            <rFont val="Tahoma"/>
            <family val="2"/>
          </rPr>
          <t>Roger Betz, MSU Extension:</t>
        </r>
        <r>
          <rPr>
            <sz val="9"/>
            <color indexed="81"/>
            <rFont val="Tahoma"/>
            <family val="2"/>
          </rPr>
          <t xml:space="preserve">
This cell has a formula but can be overwritten</t>
        </r>
      </text>
    </comment>
    <comment ref="U116" authorId="1">
      <text>
        <r>
          <rPr>
            <b/>
            <sz val="9"/>
            <color indexed="81"/>
            <rFont val="Tahoma"/>
            <family val="2"/>
          </rPr>
          <t>Roger Betz, MSU Extension:</t>
        </r>
        <r>
          <rPr>
            <sz val="9"/>
            <color indexed="81"/>
            <rFont val="Tahoma"/>
            <family val="2"/>
          </rPr>
          <t xml:space="preserve">
This cell has a formula but can be overwritten</t>
        </r>
      </text>
    </comment>
    <comment ref="W116" authorId="1">
      <text>
        <r>
          <rPr>
            <b/>
            <sz val="9"/>
            <color indexed="81"/>
            <rFont val="Tahoma"/>
            <family val="2"/>
          </rPr>
          <t>Roger Betz, MSU Extension:</t>
        </r>
        <r>
          <rPr>
            <sz val="9"/>
            <color indexed="81"/>
            <rFont val="Tahoma"/>
            <family val="2"/>
          </rPr>
          <t xml:space="preserve">
This cell has a formula but can be overwritten</t>
        </r>
      </text>
    </comment>
    <comment ref="I117" authorId="0">
      <text>
        <r>
          <rPr>
            <sz val="9"/>
            <color indexed="81"/>
            <rFont val="Tahoma"/>
            <family val="2"/>
          </rPr>
          <t>The default cost values have the labor expense built into those items cost.  If labor is not included in your cost estimates, the labor expense can be added here.  If you enter the labor cost per added square foot the cost will carry across all alternative columns and the Existing Production System column.</t>
        </r>
      </text>
    </comment>
    <comment ref="O117" authorId="1">
      <text>
        <r>
          <rPr>
            <b/>
            <sz val="9"/>
            <color indexed="81"/>
            <rFont val="Tahoma"/>
            <family val="2"/>
          </rPr>
          <t>Roger Betz, MSU Extension:</t>
        </r>
        <r>
          <rPr>
            <sz val="9"/>
            <color indexed="81"/>
            <rFont val="Tahoma"/>
            <family val="2"/>
          </rPr>
          <t xml:space="preserve">
This cell has a formula but can be overwritten</t>
        </r>
      </text>
    </comment>
    <comment ref="Q117" authorId="1">
      <text>
        <r>
          <rPr>
            <b/>
            <sz val="9"/>
            <color indexed="81"/>
            <rFont val="Tahoma"/>
            <family val="2"/>
          </rPr>
          <t>Roger Betz, MSU Extension:</t>
        </r>
        <r>
          <rPr>
            <sz val="9"/>
            <color indexed="81"/>
            <rFont val="Tahoma"/>
            <family val="2"/>
          </rPr>
          <t xml:space="preserve">
This cell has a formula but can be overwritten</t>
        </r>
      </text>
    </comment>
    <comment ref="S117" authorId="1">
      <text>
        <r>
          <rPr>
            <b/>
            <sz val="9"/>
            <color indexed="81"/>
            <rFont val="Tahoma"/>
            <family val="2"/>
          </rPr>
          <t>Roger Betz, MSU Extension:</t>
        </r>
        <r>
          <rPr>
            <sz val="9"/>
            <color indexed="81"/>
            <rFont val="Tahoma"/>
            <family val="2"/>
          </rPr>
          <t xml:space="preserve">
This cell has a formula but can be overwritten</t>
        </r>
      </text>
    </comment>
    <comment ref="U117" authorId="1">
      <text>
        <r>
          <rPr>
            <b/>
            <sz val="9"/>
            <color indexed="81"/>
            <rFont val="Tahoma"/>
            <family val="2"/>
          </rPr>
          <t>Roger Betz, MSU Extension:</t>
        </r>
        <r>
          <rPr>
            <sz val="9"/>
            <color indexed="81"/>
            <rFont val="Tahoma"/>
            <family val="2"/>
          </rPr>
          <t xml:space="preserve">
This cell has a formula but can be overwritten</t>
        </r>
      </text>
    </comment>
    <comment ref="W117" authorId="1">
      <text>
        <r>
          <rPr>
            <b/>
            <sz val="9"/>
            <color indexed="81"/>
            <rFont val="Tahoma"/>
            <family val="2"/>
          </rPr>
          <t>Roger Betz, MSU Extension:</t>
        </r>
        <r>
          <rPr>
            <sz val="9"/>
            <color indexed="81"/>
            <rFont val="Tahoma"/>
            <family val="2"/>
          </rPr>
          <t xml:space="preserve">
This cell has a formula but can be overwritten</t>
        </r>
      </text>
    </comment>
    <comment ref="O118" authorId="1">
      <text>
        <r>
          <rPr>
            <b/>
            <sz val="9"/>
            <color indexed="81"/>
            <rFont val="Tahoma"/>
            <family val="2"/>
          </rPr>
          <t>Roger Betz, MSU Extension:</t>
        </r>
        <r>
          <rPr>
            <sz val="9"/>
            <color indexed="81"/>
            <rFont val="Tahoma"/>
            <family val="2"/>
          </rPr>
          <t xml:space="preserve">
This cell has a formula but can be overwritten</t>
        </r>
      </text>
    </comment>
    <comment ref="Q118" authorId="1">
      <text>
        <r>
          <rPr>
            <b/>
            <sz val="9"/>
            <color indexed="81"/>
            <rFont val="Tahoma"/>
            <family val="2"/>
          </rPr>
          <t>Roger Betz, MSU Extension:</t>
        </r>
        <r>
          <rPr>
            <sz val="9"/>
            <color indexed="81"/>
            <rFont val="Tahoma"/>
            <family val="2"/>
          </rPr>
          <t xml:space="preserve">
This cell has a formula but can be overwritten</t>
        </r>
      </text>
    </comment>
    <comment ref="S118" authorId="1">
      <text>
        <r>
          <rPr>
            <b/>
            <sz val="9"/>
            <color indexed="81"/>
            <rFont val="Tahoma"/>
            <family val="2"/>
          </rPr>
          <t>Roger Betz, MSU Extension:</t>
        </r>
        <r>
          <rPr>
            <sz val="9"/>
            <color indexed="81"/>
            <rFont val="Tahoma"/>
            <family val="2"/>
          </rPr>
          <t xml:space="preserve">
This cell has a formula but can be overwritten</t>
        </r>
      </text>
    </comment>
    <comment ref="U118" authorId="1">
      <text>
        <r>
          <rPr>
            <b/>
            <sz val="9"/>
            <color indexed="81"/>
            <rFont val="Tahoma"/>
            <family val="2"/>
          </rPr>
          <t>Roger Betz, MSU Extension:</t>
        </r>
        <r>
          <rPr>
            <sz val="9"/>
            <color indexed="81"/>
            <rFont val="Tahoma"/>
            <family val="2"/>
          </rPr>
          <t xml:space="preserve">
This cell has a formula but can be overwritten</t>
        </r>
      </text>
    </comment>
    <comment ref="W118" authorId="1">
      <text>
        <r>
          <rPr>
            <b/>
            <sz val="9"/>
            <color indexed="81"/>
            <rFont val="Tahoma"/>
            <family val="2"/>
          </rPr>
          <t>Roger Betz, MSU Extension:</t>
        </r>
        <r>
          <rPr>
            <sz val="9"/>
            <color indexed="81"/>
            <rFont val="Tahoma"/>
            <family val="2"/>
          </rPr>
          <t xml:space="preserve">
This cell has a formula but can be overwritten</t>
        </r>
      </text>
    </comment>
    <comment ref="O119" authorId="1">
      <text>
        <r>
          <rPr>
            <b/>
            <sz val="9"/>
            <color indexed="81"/>
            <rFont val="Tahoma"/>
            <family val="2"/>
          </rPr>
          <t>Roger Betz, MSU Extension:</t>
        </r>
        <r>
          <rPr>
            <sz val="9"/>
            <color indexed="81"/>
            <rFont val="Tahoma"/>
            <family val="2"/>
          </rPr>
          <t xml:space="preserve">
This cell has a formula but can be overwritten</t>
        </r>
      </text>
    </comment>
    <comment ref="Q119" authorId="1">
      <text>
        <r>
          <rPr>
            <b/>
            <sz val="9"/>
            <color indexed="81"/>
            <rFont val="Tahoma"/>
            <family val="2"/>
          </rPr>
          <t>Roger Betz, MSU Extension:</t>
        </r>
        <r>
          <rPr>
            <sz val="9"/>
            <color indexed="81"/>
            <rFont val="Tahoma"/>
            <family val="2"/>
          </rPr>
          <t xml:space="preserve">
This cell has a formula but can be overwritten</t>
        </r>
      </text>
    </comment>
    <comment ref="S119" authorId="1">
      <text>
        <r>
          <rPr>
            <b/>
            <sz val="9"/>
            <color indexed="81"/>
            <rFont val="Tahoma"/>
            <family val="2"/>
          </rPr>
          <t>Roger Betz, MSU Extension:</t>
        </r>
        <r>
          <rPr>
            <sz val="9"/>
            <color indexed="81"/>
            <rFont val="Tahoma"/>
            <family val="2"/>
          </rPr>
          <t xml:space="preserve">
This cell has a formula but can be overwritten</t>
        </r>
      </text>
    </comment>
    <comment ref="U119" authorId="1">
      <text>
        <r>
          <rPr>
            <b/>
            <sz val="9"/>
            <color indexed="81"/>
            <rFont val="Tahoma"/>
            <family val="2"/>
          </rPr>
          <t>Roger Betz, MSU Extension:</t>
        </r>
        <r>
          <rPr>
            <sz val="9"/>
            <color indexed="81"/>
            <rFont val="Tahoma"/>
            <family val="2"/>
          </rPr>
          <t xml:space="preserve">
This cell has a formula but can be overwritten</t>
        </r>
      </text>
    </comment>
    <comment ref="W119" authorId="1">
      <text>
        <r>
          <rPr>
            <b/>
            <sz val="9"/>
            <color indexed="81"/>
            <rFont val="Tahoma"/>
            <family val="2"/>
          </rPr>
          <t>Roger Betz, MSU Extension:</t>
        </r>
        <r>
          <rPr>
            <sz val="9"/>
            <color indexed="81"/>
            <rFont val="Tahoma"/>
            <family val="2"/>
          </rPr>
          <t xml:space="preserve">
This cell has a formula but can be overwritten</t>
        </r>
      </text>
    </comment>
    <comment ref="O120" authorId="1">
      <text>
        <r>
          <rPr>
            <b/>
            <sz val="9"/>
            <color indexed="81"/>
            <rFont val="Tahoma"/>
            <family val="2"/>
          </rPr>
          <t>Roger Betz, MSU Extension:</t>
        </r>
        <r>
          <rPr>
            <sz val="9"/>
            <color indexed="81"/>
            <rFont val="Tahoma"/>
            <family val="2"/>
          </rPr>
          <t xml:space="preserve">
This cell has a formula but can be overwritten</t>
        </r>
      </text>
    </comment>
    <comment ref="Q120" authorId="1">
      <text>
        <r>
          <rPr>
            <b/>
            <sz val="9"/>
            <color indexed="81"/>
            <rFont val="Tahoma"/>
            <family val="2"/>
          </rPr>
          <t>Roger Betz, MSU Extension:</t>
        </r>
        <r>
          <rPr>
            <sz val="9"/>
            <color indexed="81"/>
            <rFont val="Tahoma"/>
            <family val="2"/>
          </rPr>
          <t xml:space="preserve">
This cell has a formula but can be overwritten</t>
        </r>
      </text>
    </comment>
    <comment ref="S120" authorId="1">
      <text>
        <r>
          <rPr>
            <b/>
            <sz val="9"/>
            <color indexed="81"/>
            <rFont val="Tahoma"/>
            <family val="2"/>
          </rPr>
          <t>Roger Betz, MSU Extension:</t>
        </r>
        <r>
          <rPr>
            <sz val="9"/>
            <color indexed="81"/>
            <rFont val="Tahoma"/>
            <family val="2"/>
          </rPr>
          <t xml:space="preserve">
This cell has a formula but can be overwritten</t>
        </r>
      </text>
    </comment>
    <comment ref="U120" authorId="1">
      <text>
        <r>
          <rPr>
            <b/>
            <sz val="9"/>
            <color indexed="81"/>
            <rFont val="Tahoma"/>
            <family val="2"/>
          </rPr>
          <t>Roger Betz, MSU Extension:</t>
        </r>
        <r>
          <rPr>
            <sz val="9"/>
            <color indexed="81"/>
            <rFont val="Tahoma"/>
            <family val="2"/>
          </rPr>
          <t xml:space="preserve">
This cell has a formula but can be overwritten</t>
        </r>
      </text>
    </comment>
    <comment ref="W120" authorId="1">
      <text>
        <r>
          <rPr>
            <b/>
            <sz val="9"/>
            <color indexed="81"/>
            <rFont val="Tahoma"/>
            <family val="2"/>
          </rPr>
          <t>Roger Betz, MSU Extension:</t>
        </r>
        <r>
          <rPr>
            <sz val="9"/>
            <color indexed="81"/>
            <rFont val="Tahoma"/>
            <family val="2"/>
          </rPr>
          <t xml:space="preserve">
This cell has a formula but can be overwritten</t>
        </r>
      </text>
    </comment>
    <comment ref="O121" authorId="1">
      <text>
        <r>
          <rPr>
            <b/>
            <sz val="9"/>
            <color indexed="81"/>
            <rFont val="Tahoma"/>
            <family val="2"/>
          </rPr>
          <t>Roger Betz, MSU Extension:</t>
        </r>
        <r>
          <rPr>
            <sz val="9"/>
            <color indexed="81"/>
            <rFont val="Tahoma"/>
            <family val="2"/>
          </rPr>
          <t xml:space="preserve">
This cell has a formula but can be overwritten</t>
        </r>
      </text>
    </comment>
    <comment ref="Q121" authorId="1">
      <text>
        <r>
          <rPr>
            <b/>
            <sz val="9"/>
            <color indexed="81"/>
            <rFont val="Tahoma"/>
            <family val="2"/>
          </rPr>
          <t>Roger Betz, MSU Extension:</t>
        </r>
        <r>
          <rPr>
            <sz val="9"/>
            <color indexed="81"/>
            <rFont val="Tahoma"/>
            <family val="2"/>
          </rPr>
          <t xml:space="preserve">
This cell has a formula but can be overwritten</t>
        </r>
      </text>
    </comment>
    <comment ref="S121" authorId="1">
      <text>
        <r>
          <rPr>
            <b/>
            <sz val="9"/>
            <color indexed="81"/>
            <rFont val="Tahoma"/>
            <family val="2"/>
          </rPr>
          <t>Roger Betz, MSU Extension:</t>
        </r>
        <r>
          <rPr>
            <sz val="9"/>
            <color indexed="81"/>
            <rFont val="Tahoma"/>
            <family val="2"/>
          </rPr>
          <t xml:space="preserve">
This cell has a formula but can be overwritten</t>
        </r>
      </text>
    </comment>
    <comment ref="U121" authorId="1">
      <text>
        <r>
          <rPr>
            <b/>
            <sz val="9"/>
            <color indexed="81"/>
            <rFont val="Tahoma"/>
            <family val="2"/>
          </rPr>
          <t>Roger Betz, MSU Extension:</t>
        </r>
        <r>
          <rPr>
            <sz val="9"/>
            <color indexed="81"/>
            <rFont val="Tahoma"/>
            <family val="2"/>
          </rPr>
          <t xml:space="preserve">
This cell has a formula but can be overwritten</t>
        </r>
      </text>
    </comment>
    <comment ref="W121" authorId="1">
      <text>
        <r>
          <rPr>
            <b/>
            <sz val="9"/>
            <color indexed="81"/>
            <rFont val="Tahoma"/>
            <family val="2"/>
          </rPr>
          <t>Roger Betz, MSU Extension:</t>
        </r>
        <r>
          <rPr>
            <sz val="9"/>
            <color indexed="81"/>
            <rFont val="Tahoma"/>
            <family val="2"/>
          </rPr>
          <t xml:space="preserve">
This cell has a formula but can be overwritten</t>
        </r>
      </text>
    </comment>
    <comment ref="O124" authorId="0">
      <text>
        <r>
          <rPr>
            <b/>
            <sz val="9"/>
            <color indexed="81"/>
            <rFont val="Tahoma"/>
            <family val="2"/>
          </rPr>
          <t>Betz:</t>
        </r>
        <r>
          <rPr>
            <sz val="9"/>
            <color indexed="81"/>
            <rFont val="Tahoma"/>
            <family val="2"/>
          </rPr>
          <t xml:space="preserve">
This cost is defaulted to the stalls for Preg-Gestation Sows
</t>
        </r>
      </text>
    </comment>
    <comment ref="Q124" authorId="0">
      <text>
        <r>
          <rPr>
            <b/>
            <sz val="9"/>
            <color indexed="81"/>
            <rFont val="Tahoma"/>
            <family val="2"/>
          </rPr>
          <t>Betz:</t>
        </r>
        <r>
          <rPr>
            <sz val="9"/>
            <color indexed="81"/>
            <rFont val="Tahoma"/>
            <family val="2"/>
          </rPr>
          <t xml:space="preserve">
This cost is defaulted to the stalls for Preg-Gestation Sows
</t>
        </r>
      </text>
    </comment>
    <comment ref="S124" authorId="0">
      <text>
        <r>
          <rPr>
            <b/>
            <sz val="9"/>
            <color indexed="81"/>
            <rFont val="Tahoma"/>
            <family val="2"/>
          </rPr>
          <t>Betz:</t>
        </r>
        <r>
          <rPr>
            <sz val="9"/>
            <color indexed="81"/>
            <rFont val="Tahoma"/>
            <family val="2"/>
          </rPr>
          <t xml:space="preserve">
This cost is defaulted to the stalls for Preg-Gestation Sows
</t>
        </r>
      </text>
    </comment>
    <comment ref="U124" authorId="0">
      <text>
        <r>
          <rPr>
            <b/>
            <sz val="9"/>
            <color indexed="81"/>
            <rFont val="Tahoma"/>
            <family val="2"/>
          </rPr>
          <t>Betz:</t>
        </r>
        <r>
          <rPr>
            <sz val="9"/>
            <color indexed="81"/>
            <rFont val="Tahoma"/>
            <family val="2"/>
          </rPr>
          <t xml:space="preserve">
This cost is defaulted to the stalls for Preg-Gestation Sows
</t>
        </r>
      </text>
    </comment>
    <comment ref="W124" authorId="0">
      <text>
        <r>
          <rPr>
            <b/>
            <sz val="9"/>
            <color indexed="81"/>
            <rFont val="Tahoma"/>
            <family val="2"/>
          </rPr>
          <t>Betz:</t>
        </r>
        <r>
          <rPr>
            <sz val="9"/>
            <color indexed="81"/>
            <rFont val="Tahoma"/>
            <family val="2"/>
          </rPr>
          <t xml:space="preserve">
This cost is defaulted to the stalls for Preg-Gestation Sows
</t>
        </r>
      </text>
    </comment>
    <comment ref="O125" authorId="1">
      <text>
        <r>
          <rPr>
            <b/>
            <sz val="9"/>
            <color indexed="81"/>
            <rFont val="Tahoma"/>
            <family val="2"/>
          </rPr>
          <t>Roger Betz, MSU Extension:</t>
        </r>
        <r>
          <rPr>
            <sz val="9"/>
            <color indexed="81"/>
            <rFont val="Tahoma"/>
            <family val="2"/>
          </rPr>
          <t xml:space="preserve">
This cell has a formula but can be overwritten</t>
        </r>
      </text>
    </comment>
    <comment ref="Q125" authorId="1">
      <text>
        <r>
          <rPr>
            <b/>
            <sz val="9"/>
            <color indexed="81"/>
            <rFont val="Tahoma"/>
            <family val="2"/>
          </rPr>
          <t>Roger Betz, MSU Extension:</t>
        </r>
        <r>
          <rPr>
            <sz val="9"/>
            <color indexed="81"/>
            <rFont val="Tahoma"/>
            <family val="2"/>
          </rPr>
          <t xml:space="preserve">
This cell has a formula but can be overwritten</t>
        </r>
      </text>
    </comment>
    <comment ref="S125" authorId="1">
      <text>
        <r>
          <rPr>
            <b/>
            <sz val="9"/>
            <color indexed="81"/>
            <rFont val="Tahoma"/>
            <family val="2"/>
          </rPr>
          <t>Roger Betz, MSU Extension:</t>
        </r>
        <r>
          <rPr>
            <sz val="9"/>
            <color indexed="81"/>
            <rFont val="Tahoma"/>
            <family val="2"/>
          </rPr>
          <t xml:space="preserve">
This cell has a formula but can be overwritten</t>
        </r>
      </text>
    </comment>
    <comment ref="U125" authorId="1">
      <text>
        <r>
          <rPr>
            <b/>
            <sz val="9"/>
            <color indexed="81"/>
            <rFont val="Tahoma"/>
            <family val="2"/>
          </rPr>
          <t>Roger Betz, MSU Extension:</t>
        </r>
        <r>
          <rPr>
            <sz val="9"/>
            <color indexed="81"/>
            <rFont val="Tahoma"/>
            <family val="2"/>
          </rPr>
          <t xml:space="preserve">
This cell has a formula but can be overwritten</t>
        </r>
      </text>
    </comment>
    <comment ref="W125" authorId="1">
      <text>
        <r>
          <rPr>
            <b/>
            <sz val="9"/>
            <color indexed="81"/>
            <rFont val="Tahoma"/>
            <family val="2"/>
          </rPr>
          <t>Roger Betz, MSU Extension:</t>
        </r>
        <r>
          <rPr>
            <sz val="9"/>
            <color indexed="81"/>
            <rFont val="Tahoma"/>
            <family val="2"/>
          </rPr>
          <t xml:space="preserve">
This cell has a formula but can be overwritten</t>
        </r>
      </text>
    </comment>
    <comment ref="O128" authorId="1">
      <text>
        <r>
          <rPr>
            <b/>
            <sz val="9"/>
            <color indexed="81"/>
            <rFont val="Tahoma"/>
            <family val="2"/>
          </rPr>
          <t>Roger Betz, MSU Extension:</t>
        </r>
        <r>
          <rPr>
            <sz val="9"/>
            <color indexed="81"/>
            <rFont val="Tahoma"/>
            <family val="2"/>
          </rPr>
          <t xml:space="preserve">
This cell has a formula but can be overwritten</t>
        </r>
      </text>
    </comment>
    <comment ref="Q128" authorId="1">
      <text>
        <r>
          <rPr>
            <b/>
            <sz val="9"/>
            <color indexed="81"/>
            <rFont val="Tahoma"/>
            <family val="2"/>
          </rPr>
          <t>Roger Betz, MSU Extension:</t>
        </r>
        <r>
          <rPr>
            <sz val="9"/>
            <color indexed="81"/>
            <rFont val="Tahoma"/>
            <family val="2"/>
          </rPr>
          <t xml:space="preserve">
This cell has a formula but can be overwritten</t>
        </r>
      </text>
    </comment>
    <comment ref="S128" authorId="1">
      <text>
        <r>
          <rPr>
            <b/>
            <sz val="9"/>
            <color indexed="81"/>
            <rFont val="Tahoma"/>
            <family val="2"/>
          </rPr>
          <t>Roger Betz, MSU Extension:</t>
        </r>
        <r>
          <rPr>
            <sz val="9"/>
            <color indexed="81"/>
            <rFont val="Tahoma"/>
            <family val="2"/>
          </rPr>
          <t xml:space="preserve">
This cell has a formula but can be overwritten</t>
        </r>
      </text>
    </comment>
    <comment ref="U128" authorId="1">
      <text>
        <r>
          <rPr>
            <b/>
            <sz val="9"/>
            <color indexed="81"/>
            <rFont val="Tahoma"/>
            <family val="2"/>
          </rPr>
          <t>Roger Betz, MSU Extension:</t>
        </r>
        <r>
          <rPr>
            <sz val="9"/>
            <color indexed="81"/>
            <rFont val="Tahoma"/>
            <family val="2"/>
          </rPr>
          <t xml:space="preserve">
This cell has a formula but can be overwritten</t>
        </r>
      </text>
    </comment>
    <comment ref="W128" authorId="1">
      <text>
        <r>
          <rPr>
            <b/>
            <sz val="9"/>
            <color indexed="81"/>
            <rFont val="Tahoma"/>
            <family val="2"/>
          </rPr>
          <t>Roger Betz, MSU Extension:</t>
        </r>
        <r>
          <rPr>
            <sz val="9"/>
            <color indexed="81"/>
            <rFont val="Tahoma"/>
            <family val="2"/>
          </rPr>
          <t xml:space="preserve">
This cell has a formula but can be overwritten</t>
        </r>
      </text>
    </comment>
    <comment ref="H129" authorId="0">
      <text>
        <r>
          <rPr>
            <sz val="9"/>
            <color indexed="81"/>
            <rFont val="Tahoma"/>
            <family val="2"/>
          </rPr>
          <t xml:space="preserve">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
</t>
        </r>
      </text>
    </comment>
    <comment ref="M129" authorId="0">
      <text>
        <r>
          <rPr>
            <sz val="9"/>
            <color indexed="81"/>
            <rFont val="Tahoma"/>
            <family val="2"/>
          </rPr>
          <t xml:space="preserve">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
</t>
        </r>
      </text>
    </comment>
    <comment ref="O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Q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S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U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W129" authorId="0">
      <text>
        <r>
          <rPr>
            <sz val="9"/>
            <color indexed="81"/>
            <rFont val="Tahoma"/>
            <family val="2"/>
          </rPr>
          <t>This is an estimate of the cost to get the system up and running at the systems future indicated production parameters. 
For Example: perhaps pigs per sow per year may drop for 6 months as people adjust to the new production system.
This cost is capitalized over future years determined by the inputted cost and years. 
The default value is estimated at 5% of the value of one years production based on cell M129, value of one weaned pig.</t>
        </r>
      </text>
    </comment>
    <comment ref="O131" authorId="1">
      <text>
        <r>
          <rPr>
            <b/>
            <sz val="9"/>
            <color indexed="81"/>
            <rFont val="Tahoma"/>
            <family val="2"/>
          </rPr>
          <t>Roger Betz, MSU Extension:</t>
        </r>
        <r>
          <rPr>
            <sz val="9"/>
            <color indexed="81"/>
            <rFont val="Tahoma"/>
            <family val="2"/>
          </rPr>
          <t xml:space="preserve">
This cell has a formula but can be overwritten</t>
        </r>
      </text>
    </comment>
    <comment ref="Q131" authorId="1">
      <text>
        <r>
          <rPr>
            <b/>
            <sz val="9"/>
            <color indexed="81"/>
            <rFont val="Tahoma"/>
            <family val="2"/>
          </rPr>
          <t>Roger Betz, MSU Extension:</t>
        </r>
        <r>
          <rPr>
            <sz val="9"/>
            <color indexed="81"/>
            <rFont val="Tahoma"/>
            <family val="2"/>
          </rPr>
          <t xml:space="preserve">
This cell has a formula but can be overwritten</t>
        </r>
      </text>
    </comment>
    <comment ref="S131" authorId="1">
      <text>
        <r>
          <rPr>
            <b/>
            <sz val="9"/>
            <color indexed="81"/>
            <rFont val="Tahoma"/>
            <family val="2"/>
          </rPr>
          <t>Roger Betz, MSU Extension:</t>
        </r>
        <r>
          <rPr>
            <sz val="9"/>
            <color indexed="81"/>
            <rFont val="Tahoma"/>
            <family val="2"/>
          </rPr>
          <t xml:space="preserve">
This cell has a formula but can be overwritten</t>
        </r>
      </text>
    </comment>
    <comment ref="U131" authorId="1">
      <text>
        <r>
          <rPr>
            <b/>
            <sz val="9"/>
            <color indexed="81"/>
            <rFont val="Tahoma"/>
            <family val="2"/>
          </rPr>
          <t>Roger Betz, MSU Extension:</t>
        </r>
        <r>
          <rPr>
            <sz val="9"/>
            <color indexed="81"/>
            <rFont val="Tahoma"/>
            <family val="2"/>
          </rPr>
          <t xml:space="preserve">
This cell has a formula but can be overwritten</t>
        </r>
      </text>
    </comment>
    <comment ref="W131" authorId="1">
      <text>
        <r>
          <rPr>
            <b/>
            <sz val="9"/>
            <color indexed="81"/>
            <rFont val="Tahoma"/>
            <family val="2"/>
          </rPr>
          <t>Roger Betz, MSU Extension:</t>
        </r>
        <r>
          <rPr>
            <sz val="9"/>
            <color indexed="81"/>
            <rFont val="Tahoma"/>
            <family val="2"/>
          </rPr>
          <t xml:space="preserve">
This cell has a formula but can be overwritten</t>
        </r>
      </text>
    </comment>
    <comment ref="O132" authorId="1">
      <text>
        <r>
          <rPr>
            <b/>
            <sz val="9"/>
            <color indexed="81"/>
            <rFont val="Tahoma"/>
            <family val="2"/>
          </rPr>
          <t>Roger Betz, MSU Extension:</t>
        </r>
        <r>
          <rPr>
            <sz val="9"/>
            <color indexed="81"/>
            <rFont val="Tahoma"/>
            <family val="2"/>
          </rPr>
          <t xml:space="preserve">
This cell has a formula but can be overwritten</t>
        </r>
      </text>
    </comment>
    <comment ref="Q132" authorId="1">
      <text>
        <r>
          <rPr>
            <b/>
            <sz val="9"/>
            <color indexed="81"/>
            <rFont val="Tahoma"/>
            <family val="2"/>
          </rPr>
          <t>Roger Betz, MSU Extension:</t>
        </r>
        <r>
          <rPr>
            <sz val="9"/>
            <color indexed="81"/>
            <rFont val="Tahoma"/>
            <family val="2"/>
          </rPr>
          <t xml:space="preserve">
This cell has a formula but can be overwritten</t>
        </r>
      </text>
    </comment>
    <comment ref="S132" authorId="1">
      <text>
        <r>
          <rPr>
            <b/>
            <sz val="9"/>
            <color indexed="81"/>
            <rFont val="Tahoma"/>
            <family val="2"/>
          </rPr>
          <t>Roger Betz, MSU Extension:</t>
        </r>
        <r>
          <rPr>
            <sz val="9"/>
            <color indexed="81"/>
            <rFont val="Tahoma"/>
            <family val="2"/>
          </rPr>
          <t xml:space="preserve">
This cell has a formula but can be overwritten</t>
        </r>
      </text>
    </comment>
    <comment ref="U132" authorId="1">
      <text>
        <r>
          <rPr>
            <b/>
            <sz val="9"/>
            <color indexed="81"/>
            <rFont val="Tahoma"/>
            <family val="2"/>
          </rPr>
          <t>Roger Betz, MSU Extension:</t>
        </r>
        <r>
          <rPr>
            <sz val="9"/>
            <color indexed="81"/>
            <rFont val="Tahoma"/>
            <family val="2"/>
          </rPr>
          <t xml:space="preserve">
This cell has a formula but can be overwritten</t>
        </r>
      </text>
    </comment>
    <comment ref="W132" authorId="1">
      <text>
        <r>
          <rPr>
            <b/>
            <sz val="9"/>
            <color indexed="81"/>
            <rFont val="Tahoma"/>
            <family val="2"/>
          </rPr>
          <t>Roger Betz, MSU Extension:</t>
        </r>
        <r>
          <rPr>
            <sz val="9"/>
            <color indexed="81"/>
            <rFont val="Tahoma"/>
            <family val="2"/>
          </rPr>
          <t xml:space="preserve">
This cell has a formula but can be overwritten</t>
        </r>
      </text>
    </comment>
    <comment ref="B147" authorId="1">
      <text>
        <r>
          <rPr>
            <b/>
            <sz val="9"/>
            <color indexed="81"/>
            <rFont val="Tahoma"/>
            <family val="2"/>
          </rPr>
          <t>Roger Betz, MSU Extension:</t>
        </r>
        <r>
          <rPr>
            <sz val="9"/>
            <color indexed="81"/>
            <rFont val="Tahoma"/>
            <family val="2"/>
          </rPr>
          <t xml:space="preserve">
This is the cost for the system between moving sows from farrowing room back to farrowing room.</t>
        </r>
      </text>
    </comment>
    <comment ref="O148" authorId="1">
      <text>
        <r>
          <rPr>
            <b/>
            <sz val="9"/>
            <color indexed="81"/>
            <rFont val="Tahoma"/>
            <family val="2"/>
          </rPr>
          <t>Roger Betz, MSU Extension:</t>
        </r>
        <r>
          <rPr>
            <sz val="9"/>
            <color indexed="81"/>
            <rFont val="Tahoma"/>
            <family val="2"/>
          </rPr>
          <t xml:space="preserve">
These cost are defaulted to the same cost per sow per year as the existing cost
</t>
        </r>
      </text>
    </comment>
  </commentList>
</comments>
</file>

<file path=xl/sharedStrings.xml><?xml version="1.0" encoding="utf-8"?>
<sst xmlns="http://schemas.openxmlformats.org/spreadsheetml/2006/main" count="2680" uniqueCount="300">
  <si>
    <t>Stalls</t>
  </si>
  <si>
    <t>Date</t>
  </si>
  <si>
    <t>Name</t>
  </si>
  <si>
    <t>Small Pens</t>
  </si>
  <si>
    <t>Stall Feeding</t>
  </si>
  <si>
    <t>5Free Access Stalls Walk in lock in</t>
  </si>
  <si>
    <t>2 Feeding race head protected 18inches</t>
  </si>
  <si>
    <t>Waste management system</t>
  </si>
  <si>
    <t>Building exterior/Frame</t>
  </si>
  <si>
    <t>Site prep</t>
  </si>
  <si>
    <t>Sand</t>
  </si>
  <si>
    <t>Water/well</t>
  </si>
  <si>
    <t>Electric</t>
  </si>
  <si>
    <t>Permits</t>
  </si>
  <si>
    <t>Plumbing/water system</t>
  </si>
  <si>
    <t>Inventory – spare parts</t>
  </si>
  <si>
    <t>Labor</t>
  </si>
  <si>
    <t>Repairs/maintenance</t>
  </si>
  <si>
    <t>Consulting</t>
  </si>
  <si>
    <t>Technology assistance</t>
  </si>
  <si>
    <t>Utilities</t>
  </si>
  <si>
    <t>Heat</t>
  </si>
  <si>
    <t>Water</t>
  </si>
  <si>
    <t>Communications</t>
  </si>
  <si>
    <t>Flooring</t>
  </si>
  <si>
    <t>Ventilation</t>
  </si>
  <si>
    <t>Health</t>
  </si>
  <si>
    <t>Veterinarian fees</t>
  </si>
  <si>
    <t>Medication costs</t>
  </si>
  <si>
    <t>Quantity of feed</t>
  </si>
  <si>
    <t>P/W/Y Pigs Weaned per Year</t>
  </si>
  <si>
    <t>Days to feed</t>
  </si>
  <si>
    <t>1 Floor Drop Feeding</t>
  </si>
  <si>
    <t>Fixed Cost / Overhead</t>
  </si>
  <si>
    <t>ft2</t>
  </si>
  <si>
    <t>Feed Wastage</t>
  </si>
  <si>
    <t>4Elec Sow Feeding</t>
  </si>
  <si>
    <t>Per Sow</t>
  </si>
  <si>
    <t>Feed Disappearance/sow/year</t>
  </si>
  <si>
    <t xml:space="preserve">Conventional </t>
  </si>
  <si>
    <t>Yrs. Life</t>
  </si>
  <si>
    <t>Excavation cost</t>
  </si>
  <si>
    <t>Total Direct non feed cost/sow/year</t>
  </si>
  <si>
    <t>lbs.</t>
  </si>
  <si>
    <t>Ration Price</t>
  </si>
  <si>
    <t>Total Direct Cost</t>
  </si>
  <si>
    <t>Total Feed Cost</t>
  </si>
  <si>
    <t>Beth Ferry</t>
  </si>
  <si>
    <t>Roger Betz</t>
  </si>
  <si>
    <t>3Trickel feeding into race</t>
  </si>
  <si>
    <t>Parts, Pieces &amp; Tools</t>
  </si>
  <si>
    <t>Pigs weaned per Litter</t>
  </si>
  <si>
    <t>Annualized Sow Inventory Cost</t>
  </si>
  <si>
    <t>Total Investment Annualized Cost</t>
  </si>
  <si>
    <t>Annual Gilt replacement rate</t>
  </si>
  <si>
    <t>"PAYMENT"</t>
  </si>
  <si>
    <t>Number of pens</t>
  </si>
  <si>
    <t>Days in Farrowing</t>
  </si>
  <si>
    <t>Days in Cycle</t>
  </si>
  <si>
    <t>Conception Rate</t>
  </si>
  <si>
    <t>Days in Pre Gest Breeding Stalls</t>
  </si>
  <si>
    <t>Sows in Farrowing Crates</t>
  </si>
  <si>
    <t>Days Pregnant</t>
  </si>
  <si>
    <t>% of Ration</t>
  </si>
  <si>
    <t>Corn/ Bu</t>
  </si>
  <si>
    <t>Soybean Meal/ Ton</t>
  </si>
  <si>
    <t>Vit/Min Pre-mix/ Ton</t>
  </si>
  <si>
    <t>Litters / week</t>
  </si>
  <si>
    <t xml:space="preserve"> Sows in Gestation Housing</t>
  </si>
  <si>
    <t>Gestating Sows per pen</t>
  </si>
  <si>
    <t>Percent Deficient</t>
  </si>
  <si>
    <t>Concrete - Walls and Pits</t>
  </si>
  <si>
    <t>Existing Cost/Sow/Yr.</t>
  </si>
  <si>
    <t>Days  in stalls (open/early preg. Sows)</t>
  </si>
  <si>
    <t>Semen</t>
  </si>
  <si>
    <t>Pigs weaned per year</t>
  </si>
  <si>
    <t>ft</t>
  </si>
  <si>
    <t>Total Female Inventory</t>
  </si>
  <si>
    <t>Total Sow/Replacement Gilt Inventory</t>
  </si>
  <si>
    <t>Average Days post wean before pregnant</t>
  </si>
  <si>
    <t>Sow/Gilt Inventory Value</t>
  </si>
  <si>
    <t>Litters / Year</t>
  </si>
  <si>
    <t>Feed consumed/sow/year</t>
  </si>
  <si>
    <t>Gestation Feed cost/sow/year</t>
  </si>
  <si>
    <t xml:space="preserve">Per Pound of feed cost used </t>
  </si>
  <si>
    <t xml:space="preserve">Opportunity Cost of Capital </t>
  </si>
  <si>
    <t>Current Inside Building Size</t>
  </si>
  <si>
    <t>Needed added building length to maintain pig numbers</t>
  </si>
  <si>
    <t>Think of this as maybe 2% for inflation on the asset cost down the road PLUS maybe 6% for real cost of money. What is the amount of money to set aside each year to sustain this investment long term.</t>
  </si>
  <si>
    <t>/hd</t>
  </si>
  <si>
    <t>/ft2</t>
  </si>
  <si>
    <t>Females not in Farrowing Crates</t>
  </si>
  <si>
    <t>Technology  installation/labor</t>
  </si>
  <si>
    <t>Loading Chute</t>
  </si>
  <si>
    <t>Sows(confirmed Preg) in Gestation Housing</t>
  </si>
  <si>
    <t>SOW HOUSING OPTIONS TOOL (SHOT)</t>
  </si>
  <si>
    <t>Calculated Ration cost per Pound</t>
  </si>
  <si>
    <t>Farm Cost Per pound of Feed</t>
  </si>
  <si>
    <t>Open Replacement Gilts in Stalls/pens</t>
  </si>
  <si>
    <t>Square ft./ Open Replacement Gilt including walk ways</t>
  </si>
  <si>
    <t>P/W/F/Y Pigs Weaned per Female per Year</t>
  </si>
  <si>
    <t>Choice =</t>
  </si>
  <si>
    <t>1. Remodel in Existing Space (Sow numbers adjusted to existing space)</t>
  </si>
  <si>
    <t>4. Build All New (to produce same number of pigs)</t>
  </si>
  <si>
    <t>2. Remodel Existing &amp; Add Space (to produce same number of pigs)</t>
  </si>
  <si>
    <t>Estimate cost for:</t>
  </si>
  <si>
    <t>Square ft./Gestating Sow Housing including walk ways</t>
  </si>
  <si>
    <t xml:space="preserve"> Building space for Replacement Gilt Housing </t>
  </si>
  <si>
    <t>Building  Space for Gestating Sow Housing</t>
  </si>
  <si>
    <t xml:space="preserve"> Building space for Pre-Gestation Housing </t>
  </si>
  <si>
    <t>Square ft./Pre-Gestating Sow Housing including walk ways</t>
  </si>
  <si>
    <t>Replacement Gilt Housing</t>
  </si>
  <si>
    <t>Sow Gestation Housing</t>
  </si>
  <si>
    <t>Sow Pre-Gestation Housing</t>
  </si>
  <si>
    <t>hd</t>
  </si>
  <si>
    <t>Expected Cost/Sow/Yr</t>
  </si>
  <si>
    <t>Pigs weaned/Litter Farrowed</t>
  </si>
  <si>
    <t>Total Building Space Needed</t>
  </si>
  <si>
    <t>Estimate Building and Equipment Cost for:</t>
  </si>
  <si>
    <t>New Building Space to Add</t>
  </si>
  <si>
    <t>Sows in Pre-Gestation Stalls</t>
  </si>
  <si>
    <t>Litters/Sow(female)/Year (Includes Replacement Gilts)</t>
  </si>
  <si>
    <t>Total Females (Not in Farrowing)</t>
  </si>
  <si>
    <t>Possible # of Gestating Sows in same Gestating Sow Building Space</t>
  </si>
  <si>
    <t>Cost</t>
  </si>
  <si>
    <t>/ ??</t>
  </si>
  <si>
    <t>Total Cost</t>
  </si>
  <si>
    <t>Number of Females (including replacement gilts)</t>
  </si>
  <si>
    <t>Total Space &gt;</t>
  </si>
  <si>
    <t>System Specific Items</t>
  </si>
  <si>
    <t>Pigs produced</t>
  </si>
  <si>
    <t>Tons</t>
  </si>
  <si>
    <t>Stalls/ Pre-Gestation Stalls</t>
  </si>
  <si>
    <t>1. Covers time, space and feed while not in farrowing rooms</t>
  </si>
  <si>
    <t xml:space="preserve">Manure storage </t>
  </si>
  <si>
    <t>Option # &gt;</t>
  </si>
  <si>
    <t>&lt;Length    Width&gt;</t>
  </si>
  <si>
    <t>Conventional Stalls</t>
  </si>
  <si>
    <t>Existing Building Space to Remodel</t>
  </si>
  <si>
    <t>Existing Total Building space deficiency</t>
  </si>
  <si>
    <t>2. Efficiency measurements are using the total female inventory</t>
  </si>
  <si>
    <t>Dr. Ron Bates</t>
  </si>
  <si>
    <t>MSU State Swine Specialist</t>
  </si>
  <si>
    <t>MSUE Pork Educator</t>
  </si>
  <si>
    <t>Note* Interest and Depreciation are in the Investment Annualized Cost</t>
  </si>
  <si>
    <t>Possible # of Pigs per year from same total "sow housing" space</t>
  </si>
  <si>
    <t>Possible # of Gestating Sows in Total Barn Building Space</t>
  </si>
  <si>
    <t>P/S/Y Pigs per Sow per Year (weaned)</t>
  </si>
  <si>
    <t>MIN</t>
  </si>
  <si>
    <t>MAX</t>
  </si>
  <si>
    <t>&gt;14</t>
  </si>
  <si>
    <t xml:space="preserve"> =0</t>
  </si>
  <si>
    <t>Square Feet per Gestating Sow</t>
  </si>
  <si>
    <t>Square Feet per Pre-Gestating Sow</t>
  </si>
  <si>
    <t>Square Feet per Replacement Gilt</t>
  </si>
  <si>
    <t>9. Gilt Replacement Rate</t>
  </si>
  <si>
    <t>3. Need to have Microsoft Excel version 10 or "Open Office"</t>
  </si>
  <si>
    <t>Assumptions and Variables for Alternatives</t>
  </si>
  <si>
    <t>CAUTION! There is an inconsistency in the female space allocations lines 65, 66, and 67</t>
  </si>
  <si>
    <t>Feed lbs per day</t>
  </si>
  <si>
    <t>4a</t>
  </si>
  <si>
    <t>4b</t>
  </si>
  <si>
    <t>4c</t>
  </si>
  <si>
    <t>4d</t>
  </si>
  <si>
    <t>4e</t>
  </si>
  <si>
    <t>4f</t>
  </si>
  <si>
    <t>4g</t>
  </si>
  <si>
    <t>4h</t>
  </si>
  <si>
    <t>4i</t>
  </si>
  <si>
    <t>4j</t>
  </si>
  <si>
    <t>4k</t>
  </si>
  <si>
    <t>4l</t>
  </si>
  <si>
    <t>Pigs per Sow per Year</t>
  </si>
  <si>
    <t>Capital Cost of Systems</t>
  </si>
  <si>
    <t>Economic Depreciation - Years of Life of Various System Components</t>
  </si>
  <si>
    <t xml:space="preserve">Direct Operating Cost </t>
  </si>
  <si>
    <t>Feed Wastage %</t>
  </si>
  <si>
    <t>Opportunity Cost of Capital (same all systems)</t>
  </si>
  <si>
    <t>Ration Cost (same all systems)</t>
  </si>
  <si>
    <t>Annual Gilt Replacement Rate</t>
  </si>
  <si>
    <t>4m</t>
  </si>
  <si>
    <t>Other</t>
  </si>
  <si>
    <t>1. Floor Feeding</t>
  </si>
  <si>
    <t xml:space="preserve">2. Short Stalls </t>
  </si>
  <si>
    <t>3. Trickle Feeding</t>
  </si>
  <si>
    <t>4. Elec Sow Feeding</t>
  </si>
  <si>
    <t>5. Free Access Stalls</t>
  </si>
  <si>
    <t>Default Values</t>
  </si>
  <si>
    <t>Existing Production System</t>
  </si>
  <si>
    <t>&gt;</t>
  </si>
  <si>
    <t>Labor to build</t>
  </si>
  <si>
    <t>Breeding Area Items</t>
  </si>
  <si>
    <t>MSUE Senior Farm Management Educator</t>
  </si>
  <si>
    <t>Sow Operation Size (total female inventory=gestating sows, pre-gestation sows, open replacement gilts and farrowing sows)</t>
  </si>
  <si>
    <t>a</t>
  </si>
  <si>
    <t>b</t>
  </si>
  <si>
    <t>c</t>
  </si>
  <si>
    <t>d</t>
  </si>
  <si>
    <t>e</t>
  </si>
  <si>
    <t>f</t>
  </si>
  <si>
    <t>g</t>
  </si>
  <si>
    <t>h</t>
  </si>
  <si>
    <t>i</t>
  </si>
  <si>
    <t>j</t>
  </si>
  <si>
    <t>k</t>
  </si>
  <si>
    <t>l</t>
  </si>
  <si>
    <t>m</t>
  </si>
  <si>
    <t>n</t>
  </si>
  <si>
    <t>o</t>
  </si>
  <si>
    <t>p</t>
  </si>
  <si>
    <t>q</t>
  </si>
  <si>
    <t>r</t>
  </si>
  <si>
    <t>s</t>
  </si>
  <si>
    <t>days</t>
  </si>
  <si>
    <t>Proposed System Sow Housing Options for Comparisons</t>
  </si>
  <si>
    <t>ft.</t>
  </si>
  <si>
    <t>Copyright © 2014-15 by, Michigan State University, and MSU Extension. All Rights reserved.</t>
  </si>
  <si>
    <t>1,200 Sow Example Farm</t>
  </si>
  <si>
    <t>Choose Situation 1 to 4 &gt;</t>
  </si>
  <si>
    <t>Note: The "situation choice" will apply to all 5 options</t>
  </si>
  <si>
    <t>Size of Production System in Same Total Building Space (Total Females)</t>
  </si>
  <si>
    <t>With situation # 3, What is the existing building space to be remodeled?</t>
  </si>
  <si>
    <t>Feed consumed Lbs./day</t>
  </si>
  <si>
    <t>Section 1.0 Existing Production System</t>
  </si>
  <si>
    <t>Section 2.0 Financial Information</t>
  </si>
  <si>
    <t xml:space="preserve">Section 3.0 Gestating Sow Feed </t>
  </si>
  <si>
    <t>Section 4.0 Production &amp; Space Information</t>
  </si>
  <si>
    <t>Section 5.0 Alternatives for Existing Building Space</t>
  </si>
  <si>
    <t>Section 6.0 Capital Investment</t>
  </si>
  <si>
    <t>Section 7.0 Breeding &amp; Gestating Direct Operating costs/yr.</t>
  </si>
  <si>
    <t>Section 8.0 Gest. Feed Cost/sow/yr.</t>
  </si>
  <si>
    <t>Section 9.0 Breeding &amp; Gestation Comparative Cost</t>
  </si>
  <si>
    <t>Project Description</t>
  </si>
  <si>
    <t>Beginning Version Blank Input Form</t>
  </si>
  <si>
    <t>Advanced Version Blank Input Form</t>
  </si>
  <si>
    <t xml:space="preserve"> </t>
  </si>
  <si>
    <t>%</t>
  </si>
  <si>
    <t>Advanced</t>
  </si>
  <si>
    <t>Beginning</t>
  </si>
  <si>
    <t>Insurance Rate on Facility</t>
  </si>
  <si>
    <t>Go to:</t>
  </si>
  <si>
    <t>Sec 2 Financial Information</t>
  </si>
  <si>
    <t xml:space="preserve">Sec 3 Gestating Sow Feed </t>
  </si>
  <si>
    <t>Sec 6 Capital Investment</t>
  </si>
  <si>
    <t>Sec 1 Existing Production Syst.</t>
  </si>
  <si>
    <t>Sec 4 Production &amp; Space Infor.</t>
  </si>
  <si>
    <t>Sec 5 Alt. for Exist. Build. Space</t>
  </si>
  <si>
    <t>Sec 7 B &amp; G Dir. Oper. Costs/yr</t>
  </si>
  <si>
    <t>Sec 8 Gest. Feed Cost/sow/yr</t>
  </si>
  <si>
    <t>Sec 9 Breed &amp; Gest Comp. Cost</t>
  </si>
  <si>
    <t>User Manual</t>
  </si>
  <si>
    <t>3. Remodel Part of Existing Space &amp; Add Space (to produce same number of pigs)</t>
  </si>
  <si>
    <t>Total Annual Cost</t>
  </si>
  <si>
    <t>Contents</t>
  </si>
  <si>
    <t>Advanced Spreadsheet</t>
  </si>
  <si>
    <t>4. Production and Financial Factors Considered as a Potential Variable Across Systems</t>
  </si>
  <si>
    <t>Days in Stalls (Pre-Gestation)</t>
  </si>
  <si>
    <t>Feed lbs. per day</t>
  </si>
  <si>
    <t>Beginning Spreadsheet</t>
  </si>
  <si>
    <t>Top of Spreadsheet</t>
  </si>
  <si>
    <t>"Double Click" inside of the document to view entire document and activate hyperlinks</t>
  </si>
  <si>
    <t>NOTE: To change cells below this point you must switch to the Advanced Version. Information from above is copied to the Advanced Version.</t>
  </si>
  <si>
    <t>Non Farrowing Cost per Weaned Pig&gt;</t>
  </si>
  <si>
    <t>Real Estate Tax Rate 20mils @ 50% value = 1%</t>
  </si>
  <si>
    <t>Current Value of Asset</t>
  </si>
  <si>
    <t>Section 7.0 Breeding &amp; Gestating Direct Operating Costs/yr.</t>
  </si>
  <si>
    <r>
      <rPr>
        <b/>
        <sz val="11"/>
        <color rgb="FFFFC000"/>
        <rFont val="Calibri"/>
        <family val="2"/>
        <scheme val="minor"/>
      </rPr>
      <t>Current</t>
    </r>
    <r>
      <rPr>
        <b/>
        <sz val="11"/>
        <color theme="1"/>
        <rFont val="Calibri"/>
        <family val="2"/>
        <scheme val="minor"/>
      </rPr>
      <t xml:space="preserve"> / Added Facility Investment / Total Female</t>
    </r>
  </si>
  <si>
    <r>
      <rPr>
        <sz val="11"/>
        <color rgb="FFFFC000"/>
        <rFont val="Calibri"/>
        <family val="2"/>
        <scheme val="minor"/>
      </rPr>
      <t>Current</t>
    </r>
    <r>
      <rPr>
        <sz val="11"/>
        <color theme="1"/>
        <rFont val="Calibri"/>
        <family val="2"/>
        <scheme val="minor"/>
      </rPr>
      <t xml:space="preserve"> / Added Capital Investment per non farrowing Female</t>
    </r>
  </si>
  <si>
    <r>
      <rPr>
        <b/>
        <sz val="11"/>
        <color rgb="FFFFC000"/>
        <rFont val="Calibri"/>
        <family val="2"/>
        <scheme val="minor"/>
      </rPr>
      <t>Current</t>
    </r>
    <r>
      <rPr>
        <b/>
        <sz val="11"/>
        <color theme="1"/>
        <rFont val="Calibri"/>
        <family val="2"/>
        <scheme val="minor"/>
      </rPr>
      <t xml:space="preserve"> / Added Facility Investment / pig produced</t>
    </r>
  </si>
  <si>
    <r>
      <rPr>
        <b/>
        <sz val="11"/>
        <color rgb="FFFFC000"/>
        <rFont val="Calibri"/>
        <family val="2"/>
        <scheme val="minor"/>
      </rPr>
      <t>Current</t>
    </r>
    <r>
      <rPr>
        <b/>
        <sz val="11"/>
        <color theme="1"/>
        <rFont val="Calibri"/>
        <family val="2"/>
        <scheme val="minor"/>
      </rPr>
      <t xml:space="preserve"> / Added Annualized Capital Cost</t>
    </r>
  </si>
  <si>
    <r>
      <rPr>
        <b/>
        <sz val="11"/>
        <color rgb="FFFFC000"/>
        <rFont val="Calibri"/>
        <family val="2"/>
        <scheme val="minor"/>
      </rPr>
      <t>Current</t>
    </r>
    <r>
      <rPr>
        <b/>
        <sz val="11"/>
        <color rgb="FF0070C0"/>
        <rFont val="Calibri"/>
        <family val="2"/>
        <scheme val="minor"/>
      </rPr>
      <t xml:space="preserve"> </t>
    </r>
    <r>
      <rPr>
        <b/>
        <sz val="11"/>
        <rFont val="Calibri"/>
        <family val="2"/>
        <scheme val="minor"/>
      </rPr>
      <t>/ Added Investment Annualized Cost</t>
    </r>
  </si>
  <si>
    <t>Feed Distribution - Open Gilts</t>
  </si>
  <si>
    <t>Feed Distribution - Gest. Females</t>
  </si>
  <si>
    <t>Feed Distribution - Pre-Gestation</t>
  </si>
  <si>
    <t>Gating - Gestation housing</t>
  </si>
  <si>
    <t>Gating - Pre-Gestation Housing</t>
  </si>
  <si>
    <t>Gating - Replacement Gilt Housing</t>
  </si>
  <si>
    <t>Comparative Cost Per Weaned Pig &gt;</t>
  </si>
  <si>
    <t>Annual Comparative Cost per Female &gt;</t>
  </si>
  <si>
    <t>Increased Cost Compared to Existing System &gt;</t>
  </si>
  <si>
    <t>Per Weaned Pig &gt;</t>
  </si>
  <si>
    <r>
      <rPr>
        <b/>
        <sz val="11"/>
        <color rgb="FFFFC000"/>
        <rFont val="Calibri"/>
        <family val="2"/>
        <scheme val="minor"/>
      </rPr>
      <t>Current</t>
    </r>
    <r>
      <rPr>
        <b/>
        <sz val="11"/>
        <color theme="1"/>
        <rFont val="Calibri"/>
        <family val="2"/>
        <scheme val="minor"/>
      </rPr>
      <t xml:space="preserve"> / Added Facility Investment</t>
    </r>
  </si>
  <si>
    <r>
      <rPr>
        <b/>
        <sz val="11"/>
        <color rgb="FFFFC000"/>
        <rFont val="Calibri"/>
        <family val="2"/>
        <scheme val="minor"/>
      </rPr>
      <t xml:space="preserve">Current </t>
    </r>
    <r>
      <rPr>
        <b/>
        <sz val="11"/>
        <color theme="1"/>
        <rFont val="Calibri"/>
        <family val="2"/>
        <scheme val="minor"/>
      </rPr>
      <t>/ Added Facility Investment</t>
    </r>
  </si>
  <si>
    <t>Quantity of Feed</t>
  </si>
  <si>
    <t>Days to Feed</t>
  </si>
  <si>
    <t>Gestation Feed Cost/sow/year</t>
  </si>
  <si>
    <t>Total Direct Non-Feed Cost/sow/year</t>
  </si>
  <si>
    <t>Medication</t>
  </si>
  <si>
    <t>Technology Assistance</t>
  </si>
  <si>
    <t>Veterinarian</t>
  </si>
  <si>
    <t>Annual Comparative Cost &gt;</t>
  </si>
  <si>
    <t xml:space="preserve"> Per Weaned Pig &gt;</t>
  </si>
  <si>
    <r>
      <t xml:space="preserve">Total Cost Per Weaned Pig </t>
    </r>
    <r>
      <rPr>
        <b/>
        <vertAlign val="superscript"/>
        <sz val="14"/>
        <color theme="1"/>
        <rFont val="Calibri"/>
        <family val="2"/>
        <scheme val="minor"/>
      </rPr>
      <t>1</t>
    </r>
  </si>
  <si>
    <t>1. Total Cost Per Weaned Pig includes annualized capital cost of the current existing system in all of the system comparisons.=</t>
  </si>
  <si>
    <t>Version 1.3</t>
  </si>
  <si>
    <t>Transition Cost</t>
  </si>
  <si>
    <t>Years of Loan</t>
  </si>
  <si>
    <t>Interest Rate</t>
  </si>
  <si>
    <t>Annual Payment &gt;</t>
  </si>
  <si>
    <t>Total Added System Investment &gt;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</si>
</sst>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 #,##0.0_);_(* \(#,##0.0\);_(* &quot;-&quot;??_);_(@_)"/>
    <numFmt numFmtId="168" formatCode="_(&quot;$&quot;* #,##0.0000_);_(&quot;$&quot;* \(#,##0.0000\);_(&quot;$&quot;* &quot;-&quot;??_);_(@_)"/>
    <numFmt numFmtId="169" formatCode="0.0%"/>
    <numFmt numFmtId="170" formatCode="_(* #,##0.0000_);_(* \(#,##0.0000\);_(* &quot;-&quot;??_);_(@_)"/>
    <numFmt numFmtId="171" formatCode="0.000%"/>
  </numFmts>
  <fonts count="39" x14ac:knownFonts="1">
    <font>
      <sz val="11"/>
      <color theme="1"/>
      <name val="Calibri"/>
      <family val="2"/>
      <scheme val="minor"/>
    </font>
    <font>
      <sz val="11"/>
      <color rgb="FFFF0000"/>
      <name val="Calibri"/>
      <family val="2"/>
      <scheme val="minor"/>
    </font>
    <font>
      <u/>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u/>
      <sz val="11"/>
      <name val="Calibri"/>
      <family val="2"/>
      <scheme val="minor"/>
    </font>
    <font>
      <b/>
      <sz val="12"/>
      <color theme="1"/>
      <name val="Calibri"/>
      <family val="2"/>
      <scheme val="minor"/>
    </font>
    <font>
      <u val="singleAccounting"/>
      <sz val="11"/>
      <name val="Calibri"/>
      <family val="2"/>
      <scheme val="minor"/>
    </font>
    <font>
      <sz val="9"/>
      <name val="Calibri"/>
      <family val="2"/>
      <scheme val="minor"/>
    </font>
    <font>
      <sz val="10"/>
      <name val="Arial"/>
      <family val="2"/>
    </font>
    <font>
      <b/>
      <u/>
      <sz val="12"/>
      <color theme="1"/>
      <name val="Calibri"/>
      <family val="2"/>
      <scheme val="minor"/>
    </font>
    <font>
      <sz val="9"/>
      <color indexed="81"/>
      <name val="Tahoma"/>
      <family val="2"/>
    </font>
    <font>
      <b/>
      <sz val="9"/>
      <color indexed="81"/>
      <name val="Tahoma"/>
      <family val="2"/>
    </font>
    <font>
      <sz val="12"/>
      <color rgb="FFFF0000"/>
      <name val="Calibri"/>
      <family val="2"/>
      <scheme val="minor"/>
    </font>
    <font>
      <i/>
      <sz val="11"/>
      <color theme="1"/>
      <name val="Calibri"/>
      <family val="2"/>
      <scheme val="minor"/>
    </font>
    <font>
      <u val="singleAccounting"/>
      <sz val="11"/>
      <color theme="1"/>
      <name val="Calibri"/>
      <family val="2"/>
      <scheme val="minor"/>
    </font>
    <font>
      <b/>
      <sz val="11"/>
      <color rgb="FF0070C0"/>
      <name val="Calibri"/>
      <family val="2"/>
      <scheme val="minor"/>
    </font>
    <font>
      <sz val="11"/>
      <color rgb="FF0070C0"/>
      <name val="Calibri"/>
      <family val="2"/>
      <scheme val="minor"/>
    </font>
    <font>
      <sz val="8"/>
      <color rgb="FF000000"/>
      <name val="Tahoma"/>
      <family val="2"/>
    </font>
    <font>
      <b/>
      <sz val="11"/>
      <name val="Calibri"/>
      <family val="2"/>
      <scheme val="minor"/>
    </font>
    <font>
      <b/>
      <sz val="12"/>
      <name val="Calibri"/>
      <family val="2"/>
      <scheme val="minor"/>
    </font>
    <font>
      <b/>
      <sz val="18"/>
      <color theme="1"/>
      <name val="Calibri"/>
      <family val="2"/>
      <scheme val="minor"/>
    </font>
    <font>
      <b/>
      <sz val="11"/>
      <color rgb="FFFF0000"/>
      <name val="Calibri"/>
      <family val="2"/>
      <scheme val="minor"/>
    </font>
    <font>
      <b/>
      <sz val="14"/>
      <name val="Calibri"/>
      <family val="2"/>
      <scheme val="minor"/>
    </font>
    <font>
      <i/>
      <sz val="11"/>
      <name val="Calibri"/>
      <family val="2"/>
      <scheme val="minor"/>
    </font>
    <font>
      <b/>
      <sz val="12"/>
      <color rgb="FFFF0000"/>
      <name val="Calibri"/>
      <family val="2"/>
      <scheme val="minor"/>
    </font>
    <font>
      <u/>
      <sz val="11"/>
      <color theme="10"/>
      <name val="Calibri"/>
      <family val="2"/>
      <scheme val="minor"/>
    </font>
    <font>
      <sz val="10"/>
      <color rgb="FFFF0000"/>
      <name val="Calibri"/>
      <family val="2"/>
      <scheme val="minor"/>
    </font>
    <font>
      <sz val="10"/>
      <color theme="1"/>
      <name val="Calibri"/>
      <family val="2"/>
      <scheme val="minor"/>
    </font>
    <font>
      <sz val="11"/>
      <color theme="0"/>
      <name val="Calibri"/>
      <family val="2"/>
      <scheme val="minor"/>
    </font>
    <font>
      <sz val="11"/>
      <color rgb="FFFFC000"/>
      <name val="Calibri"/>
      <family val="2"/>
      <scheme val="minor"/>
    </font>
    <font>
      <b/>
      <sz val="11"/>
      <color rgb="FFFFC000"/>
      <name val="Calibri"/>
      <family val="2"/>
      <scheme val="minor"/>
    </font>
    <font>
      <b/>
      <vertAlign val="superscript"/>
      <sz val="14"/>
      <color theme="1"/>
      <name val="Calibri"/>
      <family val="2"/>
      <scheme val="minor"/>
    </font>
    <font>
      <u/>
      <sz val="10"/>
      <color theme="1"/>
      <name val="Calibri"/>
      <family val="2"/>
      <scheme val="minor"/>
    </font>
    <font>
      <sz val="14"/>
      <color theme="1"/>
      <name val="Calibri"/>
      <family val="2"/>
      <scheme val="minor"/>
    </font>
    <font>
      <b/>
      <u/>
      <sz val="14"/>
      <color theme="1"/>
      <name val="Calibri"/>
      <family val="2"/>
      <scheme val="minor"/>
    </font>
  </fonts>
  <fills count="14">
    <fill>
      <patternFill patternType="none"/>
    </fill>
    <fill>
      <patternFill patternType="gray125"/>
    </fill>
    <fill>
      <patternFill patternType="solid">
        <fgColor rgb="FFCCECFF"/>
        <bgColor indexed="64"/>
      </patternFill>
    </fill>
    <fill>
      <patternFill patternType="solid">
        <fgColor rgb="FFFFC000"/>
        <bgColor indexed="64"/>
      </patternFill>
    </fill>
    <fill>
      <patternFill patternType="solid">
        <fgColor rgb="FF99FF99"/>
        <bgColor indexed="64"/>
      </patternFill>
    </fill>
    <fill>
      <patternFill patternType="solid">
        <fgColor rgb="FFFFFF99"/>
        <bgColor indexed="64"/>
      </patternFill>
    </fill>
    <fill>
      <patternFill patternType="solid">
        <fgColor rgb="FFFFCC99"/>
        <bgColor indexed="64"/>
      </patternFill>
    </fill>
    <fill>
      <patternFill patternType="solid">
        <fgColor rgb="FFFF99FF"/>
        <bgColor indexed="64"/>
      </patternFill>
    </fill>
    <fill>
      <patternFill patternType="solid">
        <fgColor rgb="FFCCFFCC"/>
        <bgColor indexed="64"/>
      </patternFill>
    </fill>
    <fill>
      <patternFill patternType="solid">
        <fgColor rgb="FFFFFF00"/>
        <bgColor indexed="64"/>
      </patternFill>
    </fill>
    <fill>
      <patternFill patternType="solid">
        <fgColor rgb="FF00FF00"/>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9" fillId="0" borderId="0" applyNumberFormat="0" applyFill="0" applyBorder="0" applyAlignment="0" applyProtection="0"/>
  </cellStyleXfs>
  <cellXfs count="1361">
    <xf numFmtId="0" fontId="0" fillId="0" borderId="0" xfId="0"/>
    <xf numFmtId="0" fontId="0" fillId="0" borderId="0" xfId="0" applyAlignment="1" applyProtection="1">
      <alignment vertical="center"/>
    </xf>
    <xf numFmtId="165" fontId="0" fillId="0" borderId="0" xfId="0" applyNumberFormat="1" applyAlignment="1" applyProtection="1">
      <alignment vertical="center"/>
    </xf>
    <xf numFmtId="165" fontId="0" fillId="0" borderId="0" xfId="2" applyNumberFormat="1" applyFont="1" applyAlignment="1" applyProtection="1">
      <alignment vertical="center"/>
    </xf>
    <xf numFmtId="0" fontId="3" fillId="8" borderId="26" xfId="0" applyFont="1" applyFill="1" applyBorder="1" applyAlignment="1" applyProtection="1">
      <alignment vertical="center"/>
      <protection locked="0"/>
    </xf>
    <xf numFmtId="166" fontId="10" fillId="4" borderId="0" xfId="0" applyNumberFormat="1" applyFont="1" applyFill="1" applyAlignment="1" applyProtection="1">
      <alignment vertical="center"/>
    </xf>
    <xf numFmtId="0" fontId="0" fillId="3" borderId="0" xfId="0" applyFill="1" applyAlignment="1" applyProtection="1">
      <alignment vertical="center"/>
    </xf>
    <xf numFmtId="166" fontId="10" fillId="5" borderId="0" xfId="0" applyNumberFormat="1" applyFont="1" applyFill="1" applyAlignment="1" applyProtection="1">
      <alignment vertical="center"/>
    </xf>
    <xf numFmtId="166" fontId="10" fillId="2" borderId="0" xfId="0" applyNumberFormat="1" applyFont="1" applyFill="1" applyAlignment="1" applyProtection="1">
      <alignment vertical="center"/>
    </xf>
    <xf numFmtId="166" fontId="10" fillId="6" borderId="0" xfId="0" applyNumberFormat="1" applyFont="1" applyFill="1" applyAlignment="1" applyProtection="1">
      <alignment vertical="center"/>
    </xf>
    <xf numFmtId="166" fontId="10" fillId="7" borderId="0" xfId="0" applyNumberFormat="1" applyFont="1" applyFill="1" applyAlignment="1" applyProtection="1">
      <alignment vertical="center"/>
    </xf>
    <xf numFmtId="166" fontId="3" fillId="7" borderId="0" xfId="0" applyNumberFormat="1" applyFont="1" applyFill="1" applyAlignment="1" applyProtection="1">
      <alignment vertical="center"/>
    </xf>
    <xf numFmtId="0" fontId="0" fillId="0" borderId="0" xfId="0" applyAlignment="1">
      <alignment vertical="center"/>
    </xf>
    <xf numFmtId="0" fontId="0" fillId="0" borderId="7" xfId="0" applyBorder="1" applyAlignment="1" applyProtection="1">
      <alignment vertical="center"/>
    </xf>
    <xf numFmtId="0" fontId="0" fillId="0" borderId="6" xfId="0" applyBorder="1" applyAlignment="1" applyProtection="1">
      <alignment vertical="center"/>
    </xf>
    <xf numFmtId="0" fontId="3" fillId="8" borderId="21" xfId="0" applyFont="1" applyFill="1" applyBorder="1" applyAlignment="1" applyProtection="1">
      <alignment vertical="center"/>
      <protection locked="0"/>
    </xf>
    <xf numFmtId="166" fontId="3" fillId="4" borderId="0" xfId="0" applyNumberFormat="1" applyFont="1" applyFill="1" applyAlignment="1" applyProtection="1">
      <alignment vertical="center"/>
    </xf>
    <xf numFmtId="166" fontId="3" fillId="5" borderId="0" xfId="0" applyNumberFormat="1" applyFont="1" applyFill="1" applyAlignment="1" applyProtection="1">
      <alignment vertical="center"/>
    </xf>
    <xf numFmtId="166" fontId="3" fillId="2" borderId="0" xfId="0" applyNumberFormat="1" applyFont="1" applyFill="1" applyAlignment="1" applyProtection="1">
      <alignment vertical="center"/>
    </xf>
    <xf numFmtId="166" fontId="3" fillId="6" borderId="0" xfId="0" applyNumberFormat="1" applyFont="1" applyFill="1" applyAlignment="1" applyProtection="1">
      <alignment vertical="center"/>
    </xf>
    <xf numFmtId="165" fontId="1" fillId="0" borderId="0" xfId="2" applyNumberFormat="1" applyFont="1" applyAlignment="1" applyProtection="1">
      <alignment vertical="center"/>
    </xf>
    <xf numFmtId="0" fontId="0" fillId="0" borderId="9" xfId="0" applyBorder="1" applyAlignment="1" applyProtection="1">
      <alignment vertical="center"/>
    </xf>
    <xf numFmtId="0" fontId="0" fillId="0" borderId="0" xfId="0" applyBorder="1" applyAlignment="1" applyProtection="1">
      <alignment vertical="center"/>
    </xf>
    <xf numFmtId="0" fontId="3" fillId="8" borderId="23" xfId="0" applyFont="1" applyFill="1" applyBorder="1" applyAlignment="1" applyProtection="1">
      <alignment vertical="center"/>
      <protection locked="0"/>
    </xf>
    <xf numFmtId="0" fontId="0" fillId="0" borderId="11" xfId="0" applyBorder="1" applyAlignment="1" applyProtection="1">
      <alignment vertical="center"/>
    </xf>
    <xf numFmtId="0" fontId="0" fillId="0" borderId="12" xfId="0" applyBorder="1" applyAlignment="1" applyProtection="1">
      <alignment vertical="center"/>
    </xf>
    <xf numFmtId="0" fontId="0" fillId="0" borderId="0" xfId="0" applyFill="1" applyBorder="1" applyAlignment="1" applyProtection="1">
      <alignment vertical="center"/>
    </xf>
    <xf numFmtId="0" fontId="0" fillId="0" borderId="0" xfId="0" applyAlignment="1" applyProtection="1">
      <alignment horizontal="left" vertical="center"/>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20" fillId="0" borderId="0" xfId="0" applyFont="1" applyAlignment="1" applyProtection="1">
      <alignment horizontal="left" vertical="center"/>
    </xf>
    <xf numFmtId="0" fontId="3" fillId="0" borderId="9" xfId="0" applyFont="1" applyBorder="1" applyAlignment="1" applyProtection="1">
      <alignment vertical="center"/>
    </xf>
    <xf numFmtId="0" fontId="3" fillId="0" borderId="0" xfId="0" applyFont="1" applyBorder="1" applyAlignment="1" applyProtection="1">
      <alignment vertical="center"/>
    </xf>
    <xf numFmtId="0" fontId="3" fillId="8" borderId="56" xfId="0" applyFont="1" applyFill="1" applyBorder="1" applyAlignment="1" applyProtection="1">
      <alignment vertical="center"/>
      <protection locked="0"/>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7" fillId="0" borderId="0" xfId="0" applyFont="1" applyAlignment="1" applyProtection="1">
      <alignment vertical="center"/>
    </xf>
    <xf numFmtId="166" fontId="0" fillId="0" borderId="0" xfId="1" applyNumberFormat="1" applyFont="1" applyAlignment="1" applyProtection="1">
      <alignment vertical="center"/>
    </xf>
    <xf numFmtId="0" fontId="0" fillId="0" borderId="0" xfId="0" applyAlignment="1" applyProtection="1">
      <alignment horizontal="right" vertical="center"/>
    </xf>
    <xf numFmtId="0" fontId="0" fillId="0" borderId="0" xfId="0" applyBorder="1" applyAlignment="1" applyProtection="1">
      <alignment horizontal="right" vertical="center"/>
    </xf>
    <xf numFmtId="0" fontId="1" fillId="0" borderId="0" xfId="0" applyFont="1" applyAlignment="1" applyProtection="1">
      <alignment vertical="center"/>
    </xf>
    <xf numFmtId="14" fontId="3" fillId="8" borderId="1" xfId="0" applyNumberFormat="1" applyFont="1" applyFill="1" applyBorder="1" applyAlignment="1" applyProtection="1">
      <alignment vertical="center"/>
      <protection locked="0"/>
    </xf>
    <xf numFmtId="0" fontId="13" fillId="0" borderId="0" xfId="0" applyFont="1" applyAlignment="1" applyProtection="1">
      <alignment horizontal="left" vertical="center"/>
    </xf>
    <xf numFmtId="0" fontId="12" fillId="0" borderId="0" xfId="0" applyFont="1" applyAlignment="1" applyProtection="1">
      <alignment vertical="center"/>
    </xf>
    <xf numFmtId="166" fontId="3" fillId="8" borderId="1" xfId="1" applyNumberFormat="1" applyFont="1" applyFill="1" applyBorder="1" applyAlignment="1" applyProtection="1">
      <alignment vertical="center"/>
      <protection locked="0"/>
    </xf>
    <xf numFmtId="0" fontId="0" fillId="0" borderId="36" xfId="0" applyFont="1" applyBorder="1" applyAlignment="1" applyProtection="1">
      <alignment horizontal="left" vertical="center"/>
    </xf>
    <xf numFmtId="0" fontId="0" fillId="0" borderId="36" xfId="0" applyBorder="1" applyAlignment="1" applyProtection="1">
      <alignment vertical="center"/>
    </xf>
    <xf numFmtId="166" fontId="0" fillId="0" borderId="36" xfId="1" applyNumberFormat="1" applyFont="1" applyBorder="1" applyAlignment="1" applyProtection="1">
      <alignment vertical="center"/>
    </xf>
    <xf numFmtId="0" fontId="0" fillId="0" borderId="36" xfId="0" applyBorder="1" applyAlignment="1" applyProtection="1">
      <alignment horizontal="right" vertical="center"/>
    </xf>
    <xf numFmtId="0" fontId="0" fillId="0" borderId="3" xfId="0" applyBorder="1" applyAlignment="1" applyProtection="1">
      <alignment horizontal="right" vertical="center"/>
    </xf>
    <xf numFmtId="166" fontId="3" fillId="10" borderId="36" xfId="1" applyNumberFormat="1" applyFont="1" applyFill="1" applyBorder="1" applyAlignment="1" applyProtection="1">
      <alignment vertical="center"/>
    </xf>
    <xf numFmtId="166" fontId="3" fillId="5" borderId="36" xfId="1" applyNumberFormat="1" applyFont="1" applyFill="1" applyBorder="1" applyAlignment="1" applyProtection="1">
      <alignment vertical="center"/>
    </xf>
    <xf numFmtId="166" fontId="3" fillId="2" borderId="36" xfId="1" applyNumberFormat="1" applyFont="1" applyFill="1" applyBorder="1" applyAlignment="1" applyProtection="1">
      <alignment vertical="center"/>
    </xf>
    <xf numFmtId="166" fontId="3" fillId="6" borderId="36" xfId="1" applyNumberFormat="1" applyFont="1" applyFill="1" applyBorder="1" applyAlignment="1" applyProtection="1">
      <alignment vertical="center"/>
    </xf>
    <xf numFmtId="166" fontId="3" fillId="7" borderId="36" xfId="1" applyNumberFormat="1" applyFont="1" applyFill="1" applyBorder="1" applyAlignment="1" applyProtection="1">
      <alignment vertical="center"/>
    </xf>
    <xf numFmtId="0" fontId="3" fillId="7" borderId="3" xfId="0" applyFont="1" applyFill="1" applyBorder="1" applyAlignment="1" applyProtection="1">
      <alignment vertical="center"/>
    </xf>
    <xf numFmtId="0" fontId="0" fillId="0" borderId="0" xfId="0" applyFont="1" applyBorder="1" applyAlignment="1" applyProtection="1">
      <alignment horizontal="left" vertical="center"/>
    </xf>
    <xf numFmtId="166" fontId="0" fillId="0" borderId="0" xfId="1" applyNumberFormat="1" applyFont="1" applyBorder="1" applyAlignment="1" applyProtection="1">
      <alignment vertical="center"/>
    </xf>
    <xf numFmtId="0" fontId="0" fillId="0" borderId="17" xfId="0" applyBorder="1" applyAlignment="1" applyProtection="1">
      <alignment horizontal="right" vertical="center"/>
    </xf>
    <xf numFmtId="166" fontId="0" fillId="10" borderId="0" xfId="0" applyNumberFormat="1" applyFill="1" applyBorder="1" applyAlignment="1" applyProtection="1">
      <alignment vertical="center"/>
    </xf>
    <xf numFmtId="0" fontId="0" fillId="10" borderId="0" xfId="0" applyFill="1" applyBorder="1" applyAlignment="1" applyProtection="1">
      <alignment vertical="center"/>
    </xf>
    <xf numFmtId="166" fontId="0" fillId="5" borderId="0" xfId="0" applyNumberFormat="1" applyFill="1" applyBorder="1" applyAlignment="1" applyProtection="1">
      <alignment vertical="center"/>
    </xf>
    <xf numFmtId="0" fontId="0" fillId="5" borderId="0" xfId="0" applyFill="1" applyBorder="1" applyAlignment="1" applyProtection="1">
      <alignment vertical="center"/>
    </xf>
    <xf numFmtId="166" fontId="0" fillId="2" borderId="0" xfId="0" applyNumberFormat="1" applyFill="1" applyBorder="1" applyAlignment="1" applyProtection="1">
      <alignment vertical="center"/>
    </xf>
    <xf numFmtId="0" fontId="0" fillId="2" borderId="0" xfId="0" applyFill="1" applyBorder="1" applyAlignment="1" applyProtection="1">
      <alignment vertical="center"/>
    </xf>
    <xf numFmtId="166" fontId="0" fillId="6" borderId="0" xfId="0" applyNumberFormat="1" applyFill="1" applyBorder="1" applyAlignment="1" applyProtection="1">
      <alignment vertical="center"/>
    </xf>
    <xf numFmtId="0" fontId="0" fillId="6" borderId="0" xfId="0" applyFill="1" applyBorder="1" applyAlignment="1" applyProtection="1">
      <alignment vertical="center"/>
    </xf>
    <xf numFmtId="166" fontId="0" fillId="7" borderId="0" xfId="0" applyNumberFormat="1" applyFill="1" applyBorder="1" applyAlignment="1" applyProtection="1">
      <alignment vertical="center"/>
    </xf>
    <xf numFmtId="0" fontId="0" fillId="7" borderId="17" xfId="0" applyFill="1" applyBorder="1" applyAlignment="1" applyProtection="1">
      <alignment vertical="center"/>
    </xf>
    <xf numFmtId="43" fontId="12" fillId="0" borderId="0" xfId="0" applyNumberFormat="1" applyFont="1" applyAlignment="1" applyProtection="1">
      <alignment vertical="center"/>
    </xf>
    <xf numFmtId="43" fontId="3" fillId="8" borderId="1" xfId="1" applyFont="1" applyFill="1" applyBorder="1" applyAlignment="1" applyProtection="1">
      <alignment vertical="center"/>
      <protection locked="0"/>
    </xf>
    <xf numFmtId="0" fontId="0" fillId="0" borderId="18" xfId="0" applyFont="1" applyBorder="1" applyAlignment="1" applyProtection="1">
      <alignment horizontal="left" vertical="center"/>
    </xf>
    <xf numFmtId="0" fontId="0" fillId="0" borderId="18" xfId="0" applyBorder="1" applyAlignment="1" applyProtection="1">
      <alignment vertical="center"/>
    </xf>
    <xf numFmtId="166" fontId="0" fillId="0" borderId="18" xfId="1" applyNumberFormat="1" applyFont="1" applyBorder="1" applyAlignment="1" applyProtection="1">
      <alignment vertical="center"/>
    </xf>
    <xf numFmtId="0" fontId="0" fillId="0" borderId="18" xfId="0" applyBorder="1" applyAlignment="1" applyProtection="1">
      <alignment horizontal="right" vertical="center"/>
    </xf>
    <xf numFmtId="0" fontId="0" fillId="0" borderId="5" xfId="0" applyBorder="1" applyAlignment="1" applyProtection="1">
      <alignment horizontal="right" vertical="center"/>
    </xf>
    <xf numFmtId="0" fontId="6" fillId="0" borderId="0" xfId="0" applyFont="1" applyAlignment="1" applyProtection="1">
      <alignment vertical="center"/>
    </xf>
    <xf numFmtId="2" fontId="0" fillId="10" borderId="18" xfId="0" applyNumberFormat="1" applyFill="1" applyBorder="1" applyAlignment="1" applyProtection="1">
      <alignment vertical="center"/>
    </xf>
    <xf numFmtId="0" fontId="0" fillId="10" borderId="18" xfId="0" applyFill="1" applyBorder="1" applyAlignment="1" applyProtection="1">
      <alignment vertical="center"/>
    </xf>
    <xf numFmtId="2" fontId="0" fillId="5" borderId="18" xfId="0" applyNumberFormat="1" applyFill="1" applyBorder="1" applyAlignment="1" applyProtection="1">
      <alignment vertical="center"/>
    </xf>
    <xf numFmtId="0" fontId="0" fillId="5" borderId="18" xfId="0" applyFill="1" applyBorder="1" applyAlignment="1" applyProtection="1">
      <alignment vertical="center"/>
    </xf>
    <xf numFmtId="2" fontId="0" fillId="2" borderId="18" xfId="0" applyNumberFormat="1" applyFill="1" applyBorder="1" applyAlignment="1" applyProtection="1">
      <alignment vertical="center"/>
    </xf>
    <xf numFmtId="0" fontId="0" fillId="2" borderId="18" xfId="0" applyFill="1" applyBorder="1" applyAlignment="1" applyProtection="1">
      <alignment vertical="center"/>
    </xf>
    <xf numFmtId="2" fontId="0" fillId="6" borderId="18" xfId="0" applyNumberFormat="1" applyFill="1" applyBorder="1" applyAlignment="1" applyProtection="1">
      <alignment vertical="center"/>
    </xf>
    <xf numFmtId="0" fontId="0" fillId="6" borderId="18" xfId="0" applyFill="1" applyBorder="1" applyAlignment="1" applyProtection="1">
      <alignment vertical="center"/>
    </xf>
    <xf numFmtId="2" fontId="0" fillId="7" borderId="18" xfId="0" applyNumberFormat="1" applyFill="1" applyBorder="1" applyAlignment="1" applyProtection="1">
      <alignment vertical="center"/>
    </xf>
    <xf numFmtId="0" fontId="0" fillId="7" borderId="5" xfId="0" applyFill="1" applyBorder="1" applyAlignment="1" applyProtection="1">
      <alignment vertical="center"/>
    </xf>
    <xf numFmtId="2" fontId="0" fillId="0" borderId="1" xfId="0" applyNumberFormat="1" applyBorder="1" applyAlignment="1" applyProtection="1">
      <alignment vertical="center"/>
    </xf>
    <xf numFmtId="0" fontId="0" fillId="0" borderId="36" xfId="0" applyBorder="1" applyAlignment="1" applyProtection="1">
      <alignment horizontal="left" vertical="center"/>
    </xf>
    <xf numFmtId="0" fontId="3" fillId="11" borderId="0" xfId="0" applyFont="1" applyFill="1" applyAlignment="1" applyProtection="1">
      <alignment vertical="center"/>
    </xf>
    <xf numFmtId="2" fontId="0" fillId="10" borderId="36" xfId="0" applyNumberFormat="1" applyFill="1" applyBorder="1" applyAlignment="1" applyProtection="1">
      <alignment vertical="center"/>
    </xf>
    <xf numFmtId="0" fontId="0" fillId="10" borderId="36" xfId="0" applyFill="1" applyBorder="1" applyAlignment="1" applyProtection="1">
      <alignment vertical="center"/>
    </xf>
    <xf numFmtId="2" fontId="0" fillId="5" borderId="36" xfId="0" applyNumberFormat="1" applyFill="1" applyBorder="1" applyAlignment="1" applyProtection="1">
      <alignment vertical="center"/>
    </xf>
    <xf numFmtId="0" fontId="0" fillId="5" borderId="36" xfId="0" applyFill="1" applyBorder="1" applyAlignment="1" applyProtection="1">
      <alignment vertical="center"/>
    </xf>
    <xf numFmtId="2" fontId="0" fillId="2" borderId="36" xfId="0" applyNumberFormat="1" applyFill="1" applyBorder="1" applyAlignment="1" applyProtection="1">
      <alignment vertical="center"/>
    </xf>
    <xf numFmtId="0" fontId="0" fillId="2" borderId="36" xfId="0" applyFill="1" applyBorder="1" applyAlignment="1" applyProtection="1">
      <alignment vertical="center"/>
    </xf>
    <xf numFmtId="2" fontId="0" fillId="6" borderId="36" xfId="0" applyNumberFormat="1" applyFill="1" applyBorder="1" applyAlignment="1" applyProtection="1">
      <alignment vertical="center"/>
    </xf>
    <xf numFmtId="0" fontId="0" fillId="6" borderId="36" xfId="0" applyFill="1" applyBorder="1" applyAlignment="1" applyProtection="1">
      <alignment vertical="center"/>
    </xf>
    <xf numFmtId="2" fontId="0" fillId="7" borderId="36" xfId="0" applyNumberFormat="1" applyFill="1" applyBorder="1" applyAlignment="1" applyProtection="1">
      <alignment vertical="center"/>
    </xf>
    <xf numFmtId="0" fontId="0" fillId="7" borderId="3" xfId="0" applyFill="1" applyBorder="1" applyAlignment="1" applyProtection="1">
      <alignment vertical="center"/>
    </xf>
    <xf numFmtId="164" fontId="0" fillId="0" borderId="1" xfId="0" applyNumberFormat="1" applyBorder="1" applyAlignment="1" applyProtection="1">
      <alignment vertical="center"/>
    </xf>
    <xf numFmtId="164" fontId="0" fillId="10" borderId="0" xfId="0" applyNumberFormat="1" applyFill="1" applyBorder="1" applyAlignment="1" applyProtection="1">
      <alignment vertical="center"/>
    </xf>
    <xf numFmtId="164" fontId="0" fillId="5" borderId="0" xfId="0" applyNumberFormat="1" applyFill="1" applyBorder="1" applyAlignment="1" applyProtection="1">
      <alignment vertical="center"/>
    </xf>
    <xf numFmtId="164" fontId="0" fillId="2" borderId="0" xfId="0" applyNumberFormat="1" applyFill="1" applyBorder="1" applyAlignment="1" applyProtection="1">
      <alignment vertical="center"/>
    </xf>
    <xf numFmtId="164" fontId="0" fillId="6" borderId="0" xfId="0" applyNumberFormat="1" applyFill="1" applyBorder="1" applyAlignment="1" applyProtection="1">
      <alignment vertical="center"/>
    </xf>
    <xf numFmtId="164" fontId="0" fillId="7" borderId="0" xfId="0" applyNumberFormat="1" applyFill="1" applyBorder="1" applyAlignment="1" applyProtection="1">
      <alignment vertical="center"/>
    </xf>
    <xf numFmtId="166" fontId="0" fillId="0" borderId="1" xfId="1" applyNumberFormat="1" applyFont="1" applyBorder="1" applyAlignment="1" applyProtection="1">
      <alignment vertical="center"/>
    </xf>
    <xf numFmtId="166" fontId="0" fillId="10" borderId="18" xfId="1" applyNumberFormat="1" applyFont="1" applyFill="1" applyBorder="1" applyAlignment="1" applyProtection="1">
      <alignment vertical="center"/>
    </xf>
    <xf numFmtId="166" fontId="0" fillId="5" borderId="18" xfId="1" applyNumberFormat="1" applyFont="1" applyFill="1" applyBorder="1" applyAlignment="1" applyProtection="1">
      <alignment vertical="center"/>
    </xf>
    <xf numFmtId="166" fontId="0" fillId="2" borderId="18" xfId="1" applyNumberFormat="1" applyFont="1" applyFill="1" applyBorder="1" applyAlignment="1" applyProtection="1">
      <alignment vertical="center"/>
    </xf>
    <xf numFmtId="166" fontId="0" fillId="6" borderId="18" xfId="1" applyNumberFormat="1" applyFont="1" applyFill="1" applyBorder="1" applyAlignment="1" applyProtection="1">
      <alignment vertical="center"/>
    </xf>
    <xf numFmtId="166" fontId="0" fillId="7" borderId="18" xfId="1" applyNumberFormat="1" applyFont="1" applyFill="1" applyBorder="1" applyAlignment="1" applyProtection="1">
      <alignment vertical="center"/>
    </xf>
    <xf numFmtId="9" fontId="3" fillId="8" borderId="1" xfId="3" applyFont="1" applyFill="1" applyBorder="1" applyAlignment="1" applyProtection="1">
      <alignment vertical="center"/>
      <protection locked="0"/>
    </xf>
    <xf numFmtId="0" fontId="0" fillId="0" borderId="0" xfId="0" applyAlignment="1">
      <alignment horizontal="right" vertical="center"/>
    </xf>
    <xf numFmtId="9" fontId="0" fillId="10" borderId="0" xfId="0" applyNumberFormat="1" applyFill="1" applyBorder="1" applyAlignment="1" applyProtection="1">
      <alignment vertical="center"/>
    </xf>
    <xf numFmtId="9" fontId="0" fillId="5" borderId="0" xfId="0" applyNumberFormat="1" applyFill="1" applyBorder="1" applyAlignment="1" applyProtection="1">
      <alignment vertical="center"/>
    </xf>
    <xf numFmtId="9" fontId="0" fillId="2" borderId="0" xfId="0" applyNumberFormat="1" applyFill="1" applyBorder="1" applyAlignment="1" applyProtection="1">
      <alignment vertical="center"/>
    </xf>
    <xf numFmtId="9" fontId="0" fillId="6" borderId="0" xfId="0" applyNumberFormat="1" applyFill="1" applyBorder="1" applyAlignment="1" applyProtection="1">
      <alignment vertical="center"/>
    </xf>
    <xf numFmtId="9" fontId="0" fillId="7" borderId="0" xfId="0" applyNumberFormat="1" applyFill="1" applyBorder="1" applyAlignment="1" applyProtection="1">
      <alignment vertical="center"/>
    </xf>
    <xf numFmtId="166" fontId="0" fillId="10" borderId="18" xfId="0" applyNumberFormat="1" applyFill="1" applyBorder="1" applyAlignment="1" applyProtection="1">
      <alignment vertical="center"/>
    </xf>
    <xf numFmtId="166" fontId="0" fillId="5" borderId="18" xfId="0" applyNumberFormat="1" applyFill="1" applyBorder="1" applyAlignment="1" applyProtection="1">
      <alignment vertical="center"/>
    </xf>
    <xf numFmtId="166" fontId="0" fillId="2" borderId="18" xfId="0" applyNumberFormat="1" applyFill="1" applyBorder="1" applyAlignment="1" applyProtection="1">
      <alignment vertical="center"/>
    </xf>
    <xf numFmtId="166" fontId="0" fillId="6" borderId="18" xfId="0" applyNumberFormat="1" applyFill="1" applyBorder="1" applyAlignment="1" applyProtection="1">
      <alignment vertical="center"/>
    </xf>
    <xf numFmtId="166" fontId="0" fillId="7" borderId="18" xfId="0" applyNumberFormat="1" applyFill="1" applyBorder="1" applyAlignment="1" applyProtection="1">
      <alignment vertical="center"/>
    </xf>
    <xf numFmtId="166" fontId="0" fillId="10" borderId="36" xfId="0" applyNumberFormat="1" applyFill="1" applyBorder="1" applyAlignment="1" applyProtection="1">
      <alignment vertical="center"/>
    </xf>
    <xf numFmtId="166" fontId="0" fillId="5" borderId="36" xfId="0" applyNumberFormat="1" applyFill="1" applyBorder="1" applyAlignment="1" applyProtection="1">
      <alignment vertical="center"/>
    </xf>
    <xf numFmtId="166" fontId="0" fillId="2" borderId="36" xfId="0" applyNumberFormat="1" applyFill="1" applyBorder="1" applyAlignment="1" applyProtection="1">
      <alignment vertical="center"/>
    </xf>
    <xf numFmtId="166" fontId="0" fillId="6" borderId="36" xfId="0" applyNumberFormat="1" applyFill="1" applyBorder="1" applyAlignment="1" applyProtection="1">
      <alignment vertical="center"/>
    </xf>
    <xf numFmtId="166" fontId="0" fillId="7" borderId="36" xfId="0" applyNumberFormat="1" applyFill="1" applyBorder="1" applyAlignment="1" applyProtection="1">
      <alignment vertical="center"/>
    </xf>
    <xf numFmtId="167" fontId="3" fillId="0" borderId="1" xfId="0" applyNumberFormat="1" applyFont="1" applyBorder="1" applyAlignment="1" applyProtection="1">
      <alignment vertical="center"/>
    </xf>
    <xf numFmtId="0" fontId="3" fillId="0" borderId="18" xfId="0" applyFont="1" applyFill="1" applyBorder="1" applyAlignment="1" applyProtection="1">
      <alignment horizontal="left" vertical="center"/>
    </xf>
    <xf numFmtId="0" fontId="3" fillId="0" borderId="18" xfId="0" applyFont="1" applyFill="1" applyBorder="1" applyAlignment="1" applyProtection="1">
      <alignment vertical="center"/>
    </xf>
    <xf numFmtId="166" fontId="1" fillId="0" borderId="18" xfId="1" applyNumberFormat="1" applyFont="1" applyFill="1" applyBorder="1" applyAlignment="1" applyProtection="1">
      <alignment vertical="center"/>
    </xf>
    <xf numFmtId="0" fontId="1" fillId="0" borderId="18" xfId="0" applyFont="1" applyFill="1" applyBorder="1" applyAlignment="1" applyProtection="1">
      <alignment horizontal="right" vertical="center"/>
    </xf>
    <xf numFmtId="167" fontId="0" fillId="10" borderId="18" xfId="0" applyNumberFormat="1" applyFill="1" applyBorder="1" applyAlignment="1" applyProtection="1">
      <alignment vertical="center"/>
    </xf>
    <xf numFmtId="167" fontId="0" fillId="5" borderId="18" xfId="0" applyNumberFormat="1" applyFill="1" applyBorder="1" applyAlignment="1" applyProtection="1">
      <alignment vertical="center"/>
    </xf>
    <xf numFmtId="167" fontId="0" fillId="2" borderId="18" xfId="0" applyNumberFormat="1" applyFill="1" applyBorder="1" applyAlignment="1" applyProtection="1">
      <alignment vertical="center"/>
    </xf>
    <xf numFmtId="167" fontId="0" fillId="6" borderId="18" xfId="0" applyNumberFormat="1" applyFill="1" applyBorder="1" applyAlignment="1" applyProtection="1">
      <alignment vertical="center"/>
    </xf>
    <xf numFmtId="167" fontId="0" fillId="7" borderId="18" xfId="0" applyNumberFormat="1" applyFill="1" applyBorder="1" applyAlignment="1" applyProtection="1">
      <alignment vertical="center"/>
    </xf>
    <xf numFmtId="166" fontId="0" fillId="10" borderId="36" xfId="1" applyNumberFormat="1" applyFont="1" applyFill="1" applyBorder="1" applyAlignment="1" applyProtection="1">
      <alignment vertical="center"/>
    </xf>
    <xf numFmtId="166" fontId="0" fillId="5" borderId="36" xfId="1" applyNumberFormat="1" applyFont="1" applyFill="1" applyBorder="1" applyAlignment="1" applyProtection="1">
      <alignment vertical="center"/>
    </xf>
    <xf numFmtId="166" fontId="0" fillId="2" borderId="36" xfId="1" applyNumberFormat="1" applyFont="1" applyFill="1" applyBorder="1" applyAlignment="1" applyProtection="1">
      <alignment vertical="center"/>
    </xf>
    <xf numFmtId="166" fontId="0" fillId="6" borderId="36" xfId="1" applyNumberFormat="1" applyFont="1" applyFill="1" applyBorder="1" applyAlignment="1" applyProtection="1">
      <alignment vertical="center"/>
    </xf>
    <xf numFmtId="166" fontId="0" fillId="7" borderId="36" xfId="1" applyNumberFormat="1" applyFont="1" applyFill="1" applyBorder="1" applyAlignment="1" applyProtection="1">
      <alignment vertical="center"/>
    </xf>
    <xf numFmtId="166" fontId="0" fillId="10" borderId="0" xfId="1" applyNumberFormat="1" applyFont="1" applyFill="1" applyBorder="1" applyAlignment="1" applyProtection="1">
      <alignment vertical="center"/>
    </xf>
    <xf numFmtId="166" fontId="0" fillId="5" borderId="0" xfId="1" applyNumberFormat="1" applyFont="1" applyFill="1" applyBorder="1" applyAlignment="1" applyProtection="1">
      <alignment vertical="center"/>
    </xf>
    <xf numFmtId="166" fontId="0" fillId="2" borderId="0" xfId="1" applyNumberFormat="1" applyFont="1" applyFill="1" applyBorder="1" applyAlignment="1" applyProtection="1">
      <alignment vertical="center"/>
    </xf>
    <xf numFmtId="166" fontId="0" fillId="6" borderId="0" xfId="1" applyNumberFormat="1" applyFont="1" applyFill="1" applyBorder="1" applyAlignment="1" applyProtection="1">
      <alignment vertical="center"/>
    </xf>
    <xf numFmtId="166" fontId="0" fillId="7" borderId="0" xfId="1" applyNumberFormat="1" applyFont="1" applyFill="1" applyBorder="1" applyAlignment="1" applyProtection="1">
      <alignment vertical="center"/>
    </xf>
    <xf numFmtId="166" fontId="1" fillId="0" borderId="0" xfId="0" applyNumberFormat="1" applyFont="1" applyAlignment="1" applyProtection="1">
      <alignment vertical="center"/>
    </xf>
    <xf numFmtId="166" fontId="1" fillId="6" borderId="18" xfId="1" applyNumberFormat="1" applyFont="1" applyFill="1" applyBorder="1" applyAlignment="1" applyProtection="1">
      <alignment vertical="center"/>
    </xf>
    <xf numFmtId="166" fontId="0" fillId="0" borderId="0" xfId="0" applyNumberFormat="1" applyAlignment="1" applyProtection="1">
      <alignment vertical="center"/>
    </xf>
    <xf numFmtId="166" fontId="5" fillId="0" borderId="1" xfId="1" applyNumberFormat="1" applyFont="1" applyBorder="1" applyAlignment="1" applyProtection="1">
      <alignment vertical="center"/>
    </xf>
    <xf numFmtId="0" fontId="5" fillId="0" borderId="36" xfId="0" applyFont="1" applyBorder="1" applyAlignment="1" applyProtection="1">
      <alignment horizontal="left" vertical="center"/>
    </xf>
    <xf numFmtId="0" fontId="5" fillId="0" borderId="36" xfId="0" applyFont="1" applyBorder="1" applyAlignment="1" applyProtection="1">
      <alignment vertical="center"/>
    </xf>
    <xf numFmtId="166" fontId="5" fillId="0" borderId="36" xfId="1" applyNumberFormat="1" applyFont="1" applyBorder="1" applyAlignment="1" applyProtection="1">
      <alignment vertical="center"/>
    </xf>
    <xf numFmtId="166" fontId="5" fillId="10" borderId="36" xfId="1" applyNumberFormat="1" applyFont="1" applyFill="1" applyBorder="1" applyAlignment="1" applyProtection="1">
      <alignment vertical="center"/>
    </xf>
    <xf numFmtId="0" fontId="5" fillId="10" borderId="36" xfId="0" applyFont="1" applyFill="1" applyBorder="1" applyAlignment="1" applyProtection="1">
      <alignment vertical="center"/>
    </xf>
    <xf numFmtId="166" fontId="5" fillId="5" borderId="36" xfId="1" applyNumberFormat="1" applyFont="1" applyFill="1" applyBorder="1" applyAlignment="1" applyProtection="1">
      <alignment vertical="center"/>
    </xf>
    <xf numFmtId="0" fontId="5" fillId="5" borderId="36" xfId="0" applyFont="1" applyFill="1" applyBorder="1" applyAlignment="1" applyProtection="1">
      <alignment vertical="center"/>
    </xf>
    <xf numFmtId="166" fontId="5" fillId="2" borderId="36" xfId="1" applyNumberFormat="1" applyFont="1" applyFill="1" applyBorder="1" applyAlignment="1" applyProtection="1">
      <alignment vertical="center"/>
    </xf>
    <xf numFmtId="0" fontId="5" fillId="2" borderId="36" xfId="0" applyFont="1" applyFill="1" applyBorder="1" applyAlignment="1" applyProtection="1">
      <alignment vertical="center"/>
    </xf>
    <xf numFmtId="166" fontId="5" fillId="6" borderId="36" xfId="1" applyNumberFormat="1" applyFont="1" applyFill="1" applyBorder="1" applyAlignment="1" applyProtection="1">
      <alignment vertical="center"/>
    </xf>
    <xf numFmtId="0" fontId="5" fillId="6" borderId="36" xfId="0" applyFont="1" applyFill="1" applyBorder="1" applyAlignment="1" applyProtection="1">
      <alignment vertical="center"/>
    </xf>
    <xf numFmtId="166" fontId="5" fillId="7" borderId="36" xfId="1" applyNumberFormat="1" applyFont="1" applyFill="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Border="1" applyAlignment="1" applyProtection="1">
      <alignment vertical="center"/>
    </xf>
    <xf numFmtId="166" fontId="5" fillId="0" borderId="0" xfId="1" applyNumberFormat="1" applyFont="1" applyBorder="1" applyAlignment="1" applyProtection="1">
      <alignment vertical="center"/>
    </xf>
    <xf numFmtId="166" fontId="5" fillId="10" borderId="0" xfId="1" applyNumberFormat="1" applyFont="1" applyFill="1" applyBorder="1" applyAlignment="1" applyProtection="1">
      <alignment vertical="center"/>
    </xf>
    <xf numFmtId="166" fontId="5" fillId="10" borderId="0" xfId="0" applyNumberFormat="1" applyFont="1" applyFill="1" applyBorder="1" applyAlignment="1" applyProtection="1">
      <alignment vertical="center"/>
    </xf>
    <xf numFmtId="166" fontId="5" fillId="5" borderId="0" xfId="1" applyNumberFormat="1" applyFont="1" applyFill="1" applyBorder="1" applyAlignment="1" applyProtection="1">
      <alignment vertical="center"/>
    </xf>
    <xf numFmtId="166" fontId="5" fillId="5" borderId="0" xfId="0" applyNumberFormat="1" applyFont="1" applyFill="1" applyBorder="1" applyAlignment="1" applyProtection="1">
      <alignment vertical="center"/>
    </xf>
    <xf numFmtId="166" fontId="5" fillId="2" borderId="0" xfId="1" applyNumberFormat="1" applyFont="1" applyFill="1" applyBorder="1" applyAlignment="1" applyProtection="1">
      <alignment vertical="center"/>
    </xf>
    <xf numFmtId="166" fontId="5" fillId="2" borderId="0" xfId="0" applyNumberFormat="1" applyFont="1" applyFill="1" applyBorder="1" applyAlignment="1" applyProtection="1">
      <alignment vertical="center"/>
    </xf>
    <xf numFmtId="166" fontId="5" fillId="6" borderId="0" xfId="1" applyNumberFormat="1" applyFont="1" applyFill="1" applyBorder="1" applyAlignment="1" applyProtection="1">
      <alignment vertical="center"/>
    </xf>
    <xf numFmtId="166" fontId="5" fillId="6" borderId="0" xfId="0" applyNumberFormat="1" applyFont="1" applyFill="1" applyBorder="1" applyAlignment="1" applyProtection="1">
      <alignment vertical="center"/>
    </xf>
    <xf numFmtId="166" fontId="5" fillId="7" borderId="0" xfId="1" applyNumberFormat="1" applyFont="1" applyFill="1" applyBorder="1" applyAlignment="1" applyProtection="1">
      <alignment vertical="center"/>
    </xf>
    <xf numFmtId="0" fontId="5" fillId="0" borderId="18" xfId="0" applyFont="1" applyBorder="1" applyAlignment="1" applyProtection="1">
      <alignment horizontal="left" vertical="center"/>
    </xf>
    <xf numFmtId="0" fontId="5" fillId="0" borderId="18" xfId="0" applyFont="1" applyBorder="1" applyAlignment="1" applyProtection="1">
      <alignment vertical="center"/>
    </xf>
    <xf numFmtId="166" fontId="5" fillId="0" borderId="18" xfId="1" applyNumberFormat="1" applyFont="1" applyBorder="1" applyAlignment="1" applyProtection="1">
      <alignment vertical="center"/>
    </xf>
    <xf numFmtId="166" fontId="5" fillId="10" borderId="18" xfId="1" applyNumberFormat="1" applyFont="1" applyFill="1" applyBorder="1" applyAlignment="1" applyProtection="1">
      <alignment vertical="center"/>
    </xf>
    <xf numFmtId="0" fontId="5" fillId="10" borderId="18" xfId="0" applyFont="1" applyFill="1" applyBorder="1" applyAlignment="1" applyProtection="1">
      <alignment vertical="center"/>
    </xf>
    <xf numFmtId="166" fontId="5" fillId="5" borderId="18" xfId="1" applyNumberFormat="1" applyFont="1" applyFill="1" applyBorder="1" applyAlignment="1" applyProtection="1">
      <alignment vertical="center"/>
    </xf>
    <xf numFmtId="0" fontId="5" fillId="5" borderId="18" xfId="0" applyFont="1" applyFill="1" applyBorder="1" applyAlignment="1" applyProtection="1">
      <alignment vertical="center"/>
    </xf>
    <xf numFmtId="166" fontId="5" fillId="2" borderId="18" xfId="1" applyNumberFormat="1" applyFont="1" applyFill="1" applyBorder="1" applyAlignment="1" applyProtection="1">
      <alignment vertical="center"/>
    </xf>
    <xf numFmtId="0" fontId="5" fillId="2" borderId="18" xfId="0" applyFont="1" applyFill="1" applyBorder="1" applyAlignment="1" applyProtection="1">
      <alignment vertical="center"/>
    </xf>
    <xf numFmtId="166" fontId="5" fillId="6" borderId="18" xfId="1" applyNumberFormat="1" applyFont="1" applyFill="1" applyBorder="1" applyAlignment="1" applyProtection="1">
      <alignment vertical="center"/>
    </xf>
    <xf numFmtId="0" fontId="5" fillId="6" borderId="18" xfId="0" applyFont="1" applyFill="1" applyBorder="1" applyAlignment="1" applyProtection="1">
      <alignment vertical="center"/>
    </xf>
    <xf numFmtId="166" fontId="5" fillId="7" borderId="18" xfId="1" applyNumberFormat="1" applyFont="1" applyFill="1" applyBorder="1" applyAlignment="1" applyProtection="1">
      <alignment vertical="center"/>
    </xf>
    <xf numFmtId="166" fontId="5" fillId="0" borderId="1" xfId="0" applyNumberFormat="1" applyFont="1" applyBorder="1" applyAlignment="1" applyProtection="1">
      <alignment vertical="center"/>
    </xf>
    <xf numFmtId="0" fontId="5" fillId="0" borderId="16" xfId="0" applyFont="1" applyBorder="1" applyAlignment="1" applyProtection="1">
      <alignment horizontal="left" vertical="center"/>
    </xf>
    <xf numFmtId="0" fontId="5" fillId="0" borderId="16" xfId="0" applyFont="1" applyBorder="1" applyAlignment="1" applyProtection="1">
      <alignment vertical="center"/>
    </xf>
    <xf numFmtId="166" fontId="5" fillId="0" borderId="16" xfId="1" applyNumberFormat="1" applyFont="1" applyBorder="1" applyAlignment="1" applyProtection="1">
      <alignment vertical="center"/>
    </xf>
    <xf numFmtId="0" fontId="0" fillId="0" borderId="16" xfId="0" applyBorder="1" applyAlignment="1" applyProtection="1">
      <alignment horizontal="right" vertical="center"/>
    </xf>
    <xf numFmtId="0" fontId="0" fillId="0" borderId="15" xfId="0" applyBorder="1" applyAlignment="1" applyProtection="1">
      <alignment horizontal="right" vertical="center"/>
    </xf>
    <xf numFmtId="166" fontId="5" fillId="10" borderId="16" xfId="0" applyNumberFormat="1" applyFont="1" applyFill="1" applyBorder="1" applyAlignment="1" applyProtection="1">
      <alignment vertical="center"/>
    </xf>
    <xf numFmtId="0" fontId="5" fillId="10" borderId="16" xfId="0" applyFont="1" applyFill="1" applyBorder="1" applyAlignment="1" applyProtection="1">
      <alignment vertical="center"/>
    </xf>
    <xf numFmtId="166" fontId="5" fillId="5" borderId="16" xfId="0" applyNumberFormat="1" applyFont="1" applyFill="1" applyBorder="1" applyAlignment="1" applyProtection="1">
      <alignment vertical="center"/>
    </xf>
    <xf numFmtId="0" fontId="5" fillId="5" borderId="16" xfId="0" applyFont="1" applyFill="1" applyBorder="1" applyAlignment="1" applyProtection="1">
      <alignment vertical="center"/>
    </xf>
    <xf numFmtId="166" fontId="5" fillId="2" borderId="16" xfId="0" applyNumberFormat="1" applyFont="1" applyFill="1" applyBorder="1" applyAlignment="1" applyProtection="1">
      <alignment vertical="center"/>
    </xf>
    <xf numFmtId="0" fontId="5" fillId="2" borderId="16" xfId="0" applyFont="1" applyFill="1" applyBorder="1" applyAlignment="1" applyProtection="1">
      <alignment vertical="center"/>
    </xf>
    <xf numFmtId="166" fontId="5" fillId="6" borderId="16" xfId="0" applyNumberFormat="1" applyFont="1" applyFill="1" applyBorder="1" applyAlignment="1" applyProtection="1">
      <alignment vertical="center"/>
    </xf>
    <xf numFmtId="0" fontId="5" fillId="6" borderId="16" xfId="0" applyFont="1" applyFill="1" applyBorder="1" applyAlignment="1" applyProtection="1">
      <alignment vertical="center"/>
    </xf>
    <xf numFmtId="166" fontId="5" fillId="7" borderId="16" xfId="0" applyNumberFormat="1" applyFont="1" applyFill="1" applyBorder="1" applyAlignment="1" applyProtection="1">
      <alignment vertical="center"/>
    </xf>
    <xf numFmtId="0" fontId="0" fillId="7" borderId="15" xfId="0" applyFill="1" applyBorder="1" applyAlignment="1" applyProtection="1">
      <alignment vertical="center"/>
    </xf>
    <xf numFmtId="166" fontId="0" fillId="0" borderId="0" xfId="0" applyNumberFormat="1" applyAlignment="1" applyProtection="1">
      <alignment horizontal="right" vertical="center"/>
    </xf>
    <xf numFmtId="0" fontId="1" fillId="0" borderId="0" xfId="0" applyFont="1" applyAlignment="1" applyProtection="1">
      <alignment horizontal="center" vertical="center"/>
    </xf>
    <xf numFmtId="0" fontId="17" fillId="0" borderId="0" xfId="0" applyFont="1" applyAlignment="1" applyProtection="1">
      <alignment horizontal="left" vertical="center"/>
    </xf>
    <xf numFmtId="0" fontId="2" fillId="0" borderId="0" xfId="0" applyFont="1" applyAlignment="1" applyProtection="1">
      <alignment horizontal="center" vertical="center"/>
    </xf>
    <xf numFmtId="44" fontId="0" fillId="0" borderId="0" xfId="2" applyFont="1" applyAlignment="1" applyProtection="1">
      <alignment vertical="center"/>
    </xf>
    <xf numFmtId="44" fontId="0" fillId="0" borderId="0" xfId="2" applyFont="1" applyAlignment="1" applyProtection="1">
      <alignment horizontal="center" vertical="center"/>
    </xf>
    <xf numFmtId="0" fontId="13" fillId="0" borderId="0" xfId="0" applyFont="1" applyAlignment="1" applyProtection="1">
      <alignment vertical="center"/>
    </xf>
    <xf numFmtId="0" fontId="0" fillId="0" borderId="0" xfId="0" applyAlignment="1" applyProtection="1">
      <alignment horizontal="center" vertical="center"/>
    </xf>
    <xf numFmtId="44" fontId="0" fillId="0" borderId="0" xfId="0" applyNumberFormat="1" applyAlignment="1" applyProtection="1">
      <alignment vertical="center"/>
    </xf>
    <xf numFmtId="0" fontId="1" fillId="0" borderId="0" xfId="0" applyFont="1" applyAlignment="1" applyProtection="1">
      <alignment horizontal="right" vertical="center"/>
    </xf>
    <xf numFmtId="0" fontId="0" fillId="0" borderId="2" xfId="0" applyBorder="1" applyAlignment="1" applyProtection="1">
      <alignment vertical="center"/>
    </xf>
    <xf numFmtId="9" fontId="4" fillId="0" borderId="0" xfId="3" applyFont="1" applyAlignment="1" applyProtection="1">
      <alignment horizontal="center" vertical="center"/>
    </xf>
    <xf numFmtId="168" fontId="0" fillId="0" borderId="0" xfId="0" applyNumberFormat="1" applyAlignment="1" applyProtection="1">
      <alignment vertical="center"/>
    </xf>
    <xf numFmtId="0" fontId="0" fillId="0" borderId="34" xfId="0" applyBorder="1" applyAlignment="1" applyProtection="1">
      <alignment vertical="center"/>
    </xf>
    <xf numFmtId="0" fontId="0" fillId="0" borderId="4" xfId="0" applyBorder="1" applyAlignment="1" applyProtection="1">
      <alignment vertical="center"/>
    </xf>
    <xf numFmtId="0" fontId="1" fillId="0" borderId="18" xfId="0" applyFont="1" applyBorder="1" applyAlignment="1" applyProtection="1">
      <alignment vertical="center"/>
    </xf>
    <xf numFmtId="0" fontId="0" fillId="0" borderId="5" xfId="0" applyFill="1" applyBorder="1" applyAlignment="1" applyProtection="1">
      <alignment horizontal="right" vertical="center"/>
    </xf>
    <xf numFmtId="168" fontId="22" fillId="8" borderId="1" xfId="2" applyNumberFormat="1" applyFont="1" applyFill="1" applyBorder="1" applyAlignment="1" applyProtection="1">
      <alignment horizontal="center" vertical="center"/>
      <protection locked="0"/>
    </xf>
    <xf numFmtId="0" fontId="5" fillId="0" borderId="0" xfId="0" applyFont="1" applyAlignment="1" applyProtection="1">
      <alignment vertical="center"/>
    </xf>
    <xf numFmtId="166" fontId="5" fillId="0" borderId="0" xfId="1" applyNumberFormat="1" applyFont="1" applyAlignment="1" applyProtection="1">
      <alignment vertical="center"/>
    </xf>
    <xf numFmtId="0" fontId="0" fillId="0" borderId="0" xfId="0" applyFill="1" applyBorder="1" applyAlignment="1" applyProtection="1">
      <alignment horizontal="right" vertical="center"/>
    </xf>
    <xf numFmtId="43" fontId="0" fillId="0" borderId="0" xfId="1" applyFont="1" applyAlignment="1" applyProtection="1">
      <alignment vertical="center"/>
    </xf>
    <xf numFmtId="0" fontId="0" fillId="9" borderId="14" xfId="0" applyFill="1" applyBorder="1" applyAlignment="1" applyProtection="1">
      <alignment vertical="center"/>
    </xf>
    <xf numFmtId="0" fontId="0" fillId="9" borderId="16" xfId="0" applyFill="1" applyBorder="1" applyAlignment="1" applyProtection="1">
      <alignment vertical="center"/>
    </xf>
    <xf numFmtId="0" fontId="0" fillId="9" borderId="15" xfId="0" applyFill="1" applyBorder="1" applyAlignment="1" applyProtection="1">
      <alignment horizontal="right" vertical="center"/>
    </xf>
    <xf numFmtId="168" fontId="9" fillId="0" borderId="1" xfId="2" applyNumberFormat="1" applyFont="1" applyBorder="1" applyAlignment="1" applyProtection="1">
      <alignment horizontal="center" vertical="center"/>
    </xf>
    <xf numFmtId="43" fontId="0" fillId="0" borderId="0" xfId="0" applyNumberFormat="1" applyAlignment="1" applyProtection="1">
      <alignment vertical="center"/>
    </xf>
    <xf numFmtId="0" fontId="0" fillId="0" borderId="0" xfId="0" applyAlignment="1" applyProtection="1">
      <alignment horizontal="center" vertical="center"/>
      <protection locked="0"/>
    </xf>
    <xf numFmtId="0" fontId="3" fillId="3" borderId="1" xfId="0" applyFont="1" applyFill="1" applyBorder="1" applyAlignment="1" applyProtection="1">
      <alignment vertical="center"/>
    </xf>
    <xf numFmtId="0" fontId="8" fillId="4" borderId="1" xfId="0" applyFont="1" applyFill="1" applyBorder="1" applyAlignment="1" applyProtection="1">
      <alignment horizontal="center" vertical="center"/>
    </xf>
    <xf numFmtId="0" fontId="3" fillId="5" borderId="1" xfId="0" applyFont="1" applyFill="1" applyBorder="1" applyAlignment="1" applyProtection="1">
      <alignment vertical="center"/>
    </xf>
    <xf numFmtId="0" fontId="3" fillId="2" borderId="1" xfId="0" applyFont="1" applyFill="1" applyBorder="1" applyAlignment="1" applyProtection="1">
      <alignment vertical="center"/>
    </xf>
    <xf numFmtId="0" fontId="3" fillId="6" borderId="1" xfId="0" applyFont="1" applyFill="1" applyBorder="1" applyAlignment="1" applyProtection="1">
      <alignment vertical="center"/>
    </xf>
    <xf numFmtId="0" fontId="3" fillId="7" borderId="1" xfId="0" applyFont="1" applyFill="1" applyBorder="1" applyAlignment="1" applyProtection="1">
      <alignment vertical="center"/>
    </xf>
    <xf numFmtId="0" fontId="3" fillId="7" borderId="0" xfId="0" applyFont="1" applyFill="1" applyBorder="1" applyAlignment="1" applyProtection="1">
      <alignment vertical="center"/>
    </xf>
    <xf numFmtId="0" fontId="3" fillId="4" borderId="1" xfId="0" applyFont="1" applyFill="1" applyBorder="1" applyAlignment="1" applyProtection="1">
      <alignment vertical="center"/>
    </xf>
    <xf numFmtId="0" fontId="1" fillId="0" borderId="2" xfId="0" applyFont="1" applyBorder="1" applyAlignment="1" applyProtection="1">
      <alignment vertical="center"/>
    </xf>
    <xf numFmtId="0" fontId="1" fillId="0" borderId="34" xfId="0" applyFont="1" applyBorder="1" applyAlignment="1" applyProtection="1">
      <alignment vertical="center"/>
    </xf>
    <xf numFmtId="0" fontId="1" fillId="0" borderId="4" xfId="0" applyFont="1" applyBorder="1" applyAlignment="1" applyProtection="1">
      <alignment vertical="center"/>
    </xf>
    <xf numFmtId="170" fontId="1" fillId="0" borderId="4" xfId="0" applyNumberFormat="1" applyFont="1" applyBorder="1" applyAlignment="1" applyProtection="1">
      <alignment vertical="center"/>
    </xf>
    <xf numFmtId="164" fontId="0" fillId="0" borderId="0" xfId="0" applyNumberFormat="1" applyAlignment="1" applyProtection="1">
      <alignment vertical="center"/>
    </xf>
    <xf numFmtId="0" fontId="1" fillId="0" borderId="0" xfId="0" applyFont="1" applyBorder="1" applyAlignment="1" applyProtection="1">
      <alignment vertical="center"/>
    </xf>
    <xf numFmtId="166" fontId="0" fillId="3" borderId="37" xfId="0" applyNumberFormat="1" applyFill="1" applyBorder="1" applyAlignment="1" applyProtection="1">
      <alignment vertical="center"/>
    </xf>
    <xf numFmtId="166" fontId="0" fillId="3" borderId="9" xfId="0" applyNumberFormat="1" applyFill="1" applyBorder="1" applyAlignment="1" applyProtection="1">
      <alignment vertical="center"/>
    </xf>
    <xf numFmtId="166" fontId="3" fillId="3" borderId="38" xfId="1" applyNumberFormat="1" applyFont="1" applyFill="1" applyBorder="1" applyAlignment="1" applyProtection="1">
      <alignment vertical="center"/>
    </xf>
    <xf numFmtId="0" fontId="0" fillId="0" borderId="36" xfId="0" applyBorder="1" applyAlignment="1">
      <alignment vertical="center"/>
    </xf>
    <xf numFmtId="167" fontId="5" fillId="9" borderId="1" xfId="0" applyNumberFormat="1" applyFont="1" applyFill="1" applyBorder="1" applyAlignment="1" applyProtection="1">
      <alignment vertical="center"/>
    </xf>
    <xf numFmtId="0" fontId="0" fillId="0" borderId="7" xfId="0" applyBorder="1" applyAlignment="1" applyProtection="1">
      <alignment horizontal="right" vertical="center"/>
    </xf>
    <xf numFmtId="0" fontId="17" fillId="0" borderId="7" xfId="0" applyFont="1" applyBorder="1" applyAlignment="1" applyProtection="1">
      <alignment horizontal="right" vertical="center"/>
    </xf>
    <xf numFmtId="0" fontId="16" fillId="0" borderId="0" xfId="0" applyFont="1" applyAlignment="1" applyProtection="1">
      <alignment vertical="center"/>
    </xf>
    <xf numFmtId="0" fontId="17" fillId="0" borderId="0" xfId="0" applyFont="1" applyBorder="1" applyAlignment="1" applyProtection="1">
      <alignment horizontal="right" vertical="center"/>
    </xf>
    <xf numFmtId="0" fontId="0" fillId="0" borderId="38" xfId="0" applyBorder="1" applyAlignment="1" applyProtection="1">
      <alignment vertical="center"/>
    </xf>
    <xf numFmtId="0" fontId="17" fillId="0" borderId="18" xfId="0" applyFont="1" applyBorder="1" applyAlignment="1" applyProtection="1">
      <alignment horizontal="right" vertical="center"/>
    </xf>
    <xf numFmtId="0" fontId="0" fillId="0" borderId="37" xfId="0" applyBorder="1" applyAlignment="1" applyProtection="1">
      <alignment vertical="center"/>
    </xf>
    <xf numFmtId="0" fontId="0" fillId="7" borderId="10" xfId="0" applyFill="1" applyBorder="1" applyAlignment="1" applyProtection="1">
      <alignment vertical="center"/>
    </xf>
    <xf numFmtId="0" fontId="0" fillId="0" borderId="12" xfId="0" applyBorder="1" applyAlignment="1" applyProtection="1">
      <alignment horizontal="right" vertical="center"/>
    </xf>
    <xf numFmtId="168" fontId="0" fillId="0" borderId="0" xfId="2" applyNumberFormat="1" applyFont="1" applyBorder="1" applyAlignment="1" applyProtection="1">
      <alignment vertical="center"/>
    </xf>
    <xf numFmtId="168" fontId="0" fillId="0" borderId="0" xfId="2" applyNumberFormat="1" applyFont="1" applyAlignment="1" applyProtection="1">
      <alignment horizontal="center" vertical="center"/>
    </xf>
    <xf numFmtId="0" fontId="0" fillId="0" borderId="0" xfId="0" applyAlignment="1" applyProtection="1">
      <alignment vertical="center"/>
      <protection locked="0"/>
    </xf>
    <xf numFmtId="0" fontId="0" fillId="9" borderId="2" xfId="0" applyFill="1" applyBorder="1" applyAlignment="1" applyProtection="1">
      <alignment horizontal="right" vertical="center"/>
    </xf>
    <xf numFmtId="0" fontId="2" fillId="0" borderId="0" xfId="0" applyFont="1" applyAlignment="1" applyProtection="1">
      <alignment vertical="center"/>
    </xf>
    <xf numFmtId="0" fontId="0" fillId="9" borderId="27" xfId="0" applyFill="1" applyBorder="1" applyAlignment="1" applyProtection="1">
      <alignment horizontal="left" vertical="center"/>
    </xf>
    <xf numFmtId="0" fontId="0" fillId="9" borderId="19" xfId="0" applyFill="1" applyBorder="1" applyAlignment="1" applyProtection="1">
      <alignment vertical="center"/>
    </xf>
    <xf numFmtId="0" fontId="0" fillId="9" borderId="20" xfId="0" applyFill="1" applyBorder="1" applyAlignment="1" applyProtection="1">
      <alignment vertical="center"/>
    </xf>
    <xf numFmtId="166" fontId="0" fillId="3" borderId="20" xfId="0" applyNumberFormat="1" applyFill="1" applyBorder="1" applyAlignment="1" applyProtection="1">
      <alignment vertical="center"/>
    </xf>
    <xf numFmtId="43" fontId="0" fillId="0" borderId="7" xfId="0" applyNumberFormat="1" applyBorder="1" applyAlignment="1" applyProtection="1">
      <alignment horizontal="right" vertical="center"/>
    </xf>
    <xf numFmtId="166" fontId="3" fillId="7" borderId="21" xfId="1" applyNumberFormat="1" applyFont="1" applyFill="1" applyBorder="1" applyAlignment="1" applyProtection="1">
      <alignment vertical="center"/>
    </xf>
    <xf numFmtId="0" fontId="0" fillId="3" borderId="0" xfId="0" applyFill="1" applyAlignment="1" applyProtection="1">
      <alignment horizontal="right" vertical="center"/>
    </xf>
    <xf numFmtId="0" fontId="0" fillId="9" borderId="29" xfId="0" applyFill="1" applyBorder="1" applyAlignment="1" applyProtection="1">
      <alignment horizontal="left" vertical="center"/>
    </xf>
    <xf numFmtId="0" fontId="0" fillId="9" borderId="22" xfId="0" applyFill="1" applyBorder="1" applyAlignment="1" applyProtection="1">
      <alignment vertical="center"/>
    </xf>
    <xf numFmtId="0" fontId="0" fillId="9" borderId="1" xfId="0" applyFill="1" applyBorder="1" applyAlignment="1" applyProtection="1">
      <alignment vertical="center"/>
    </xf>
    <xf numFmtId="166" fontId="0" fillId="3" borderId="1" xfId="0" applyNumberFormat="1" applyFill="1" applyBorder="1" applyAlignment="1" applyProtection="1">
      <alignment vertical="center"/>
    </xf>
    <xf numFmtId="43" fontId="0" fillId="0" borderId="0" xfId="0" applyNumberFormat="1" applyBorder="1" applyAlignment="1" applyProtection="1">
      <alignment horizontal="right" vertical="center"/>
    </xf>
    <xf numFmtId="166" fontId="3" fillId="10" borderId="1" xfId="1" applyNumberFormat="1" applyFont="1" applyFill="1" applyBorder="1" applyAlignment="1" applyProtection="1">
      <alignment vertical="center"/>
    </xf>
    <xf numFmtId="166" fontId="3" fillId="5" borderId="1" xfId="1" applyNumberFormat="1" applyFont="1" applyFill="1" applyBorder="1" applyAlignment="1" applyProtection="1">
      <alignment vertical="center"/>
    </xf>
    <xf numFmtId="166" fontId="3" fillId="2" borderId="1" xfId="1" applyNumberFormat="1" applyFont="1" applyFill="1" applyBorder="1" applyAlignment="1" applyProtection="1">
      <alignment vertical="center"/>
    </xf>
    <xf numFmtId="166" fontId="3" fillId="6" borderId="1" xfId="1" applyNumberFormat="1" applyFont="1" applyFill="1" applyBorder="1" applyAlignment="1" applyProtection="1">
      <alignment vertical="center"/>
    </xf>
    <xf numFmtId="166" fontId="3" fillId="7" borderId="23" xfId="1" applyNumberFormat="1" applyFont="1" applyFill="1" applyBorder="1" applyAlignment="1" applyProtection="1">
      <alignment vertical="center"/>
    </xf>
    <xf numFmtId="0" fontId="0" fillId="9" borderId="31" xfId="0" applyFill="1" applyBorder="1" applyAlignment="1" applyProtection="1">
      <alignment horizontal="left" vertical="center"/>
    </xf>
    <xf numFmtId="0" fontId="0" fillId="9" borderId="24" xfId="0" applyFill="1" applyBorder="1" applyAlignment="1" applyProtection="1">
      <alignment vertical="center"/>
    </xf>
    <xf numFmtId="0" fontId="0" fillId="9" borderId="25" xfId="0" applyFill="1" applyBorder="1" applyAlignment="1" applyProtection="1">
      <alignment vertical="center"/>
    </xf>
    <xf numFmtId="166" fontId="0" fillId="3" borderId="25" xfId="0" applyNumberFormat="1" applyFill="1" applyBorder="1" applyAlignment="1" applyProtection="1">
      <alignment vertical="center"/>
    </xf>
    <xf numFmtId="43" fontId="0" fillId="0" borderId="12" xfId="0" applyNumberFormat="1" applyBorder="1" applyAlignment="1" applyProtection="1">
      <alignment horizontal="right" vertical="center"/>
    </xf>
    <xf numFmtId="166" fontId="3" fillId="10" borderId="25" xfId="1" applyNumberFormat="1" applyFont="1" applyFill="1" applyBorder="1" applyAlignment="1" applyProtection="1">
      <alignment vertical="center"/>
    </xf>
    <xf numFmtId="166" fontId="3" fillId="5" borderId="25" xfId="1" applyNumberFormat="1" applyFont="1" applyFill="1" applyBorder="1" applyAlignment="1" applyProtection="1">
      <alignment vertical="center"/>
    </xf>
    <xf numFmtId="166" fontId="3" fillId="2" borderId="25" xfId="1" applyNumberFormat="1" applyFont="1" applyFill="1" applyBorder="1" applyAlignment="1" applyProtection="1">
      <alignment vertical="center"/>
    </xf>
    <xf numFmtId="166" fontId="3" fillId="6" borderId="25" xfId="1" applyNumberFormat="1" applyFont="1" applyFill="1" applyBorder="1" applyAlignment="1" applyProtection="1">
      <alignment vertical="center"/>
    </xf>
    <xf numFmtId="166" fontId="3" fillId="7" borderId="26" xfId="1" applyNumberFormat="1" applyFont="1" applyFill="1" applyBorder="1" applyAlignment="1" applyProtection="1">
      <alignment vertical="center"/>
    </xf>
    <xf numFmtId="166" fontId="0" fillId="0" borderId="19" xfId="0" applyNumberFormat="1" applyBorder="1" applyAlignment="1" applyProtection="1">
      <alignment vertical="center"/>
    </xf>
    <xf numFmtId="166" fontId="4" fillId="0" borderId="20" xfId="1" applyNumberFormat="1" applyFont="1" applyBorder="1" applyAlignment="1" applyProtection="1">
      <alignment vertical="center"/>
    </xf>
    <xf numFmtId="0" fontId="0" fillId="0" borderId="40" xfId="0" applyBorder="1" applyAlignment="1" applyProtection="1">
      <alignment vertical="center"/>
    </xf>
    <xf numFmtId="0" fontId="0" fillId="3" borderId="41" xfId="0" applyFill="1" applyBorder="1" applyAlignment="1" applyProtection="1">
      <alignment vertical="center"/>
    </xf>
    <xf numFmtId="0" fontId="0" fillId="3" borderId="41" xfId="0" applyFill="1" applyBorder="1" applyAlignment="1" applyProtection="1">
      <alignment horizontal="right" vertical="center"/>
    </xf>
    <xf numFmtId="166" fontId="3" fillId="4" borderId="41" xfId="0" applyNumberFormat="1" applyFont="1" applyFill="1" applyBorder="1" applyAlignment="1" applyProtection="1">
      <alignment vertical="center"/>
    </xf>
    <xf numFmtId="166" fontId="3" fillId="5" borderId="41" xfId="0" applyNumberFormat="1" applyFont="1" applyFill="1" applyBorder="1" applyAlignment="1" applyProtection="1">
      <alignment vertical="center"/>
    </xf>
    <xf numFmtId="166" fontId="3" fillId="2" borderId="41" xfId="0" applyNumberFormat="1" applyFont="1" applyFill="1" applyBorder="1" applyAlignment="1" applyProtection="1">
      <alignment vertical="center"/>
    </xf>
    <xf numFmtId="166" fontId="3" fillId="6" borderId="41" xfId="0" applyNumberFormat="1" applyFont="1" applyFill="1" applyBorder="1" applyAlignment="1" applyProtection="1">
      <alignment vertical="center"/>
    </xf>
    <xf numFmtId="166" fontId="3" fillId="7" borderId="41" xfId="0" applyNumberFormat="1" applyFont="1" applyFill="1" applyBorder="1" applyAlignment="1" applyProtection="1">
      <alignment vertical="center"/>
    </xf>
    <xf numFmtId="166" fontId="3" fillId="7" borderId="42" xfId="0" applyNumberFormat="1" applyFont="1" applyFill="1" applyBorder="1" applyAlignment="1" applyProtection="1">
      <alignment vertical="center"/>
    </xf>
    <xf numFmtId="166" fontId="0" fillId="0" borderId="29" xfId="0" applyNumberFormat="1" applyBorder="1" applyAlignment="1" applyProtection="1">
      <alignment vertical="center"/>
    </xf>
    <xf numFmtId="166" fontId="0" fillId="3" borderId="0" xfId="0" applyNumberFormat="1" applyFill="1" applyAlignment="1" applyProtection="1">
      <alignment horizontal="right" vertical="center"/>
    </xf>
    <xf numFmtId="166" fontId="0" fillId="0" borderId="11" xfId="0" applyNumberFormat="1" applyBorder="1" applyAlignment="1" applyProtection="1">
      <alignment vertical="center"/>
    </xf>
    <xf numFmtId="166" fontId="5" fillId="0" borderId="12" xfId="1" applyNumberFormat="1" applyFont="1" applyBorder="1" applyAlignment="1" applyProtection="1">
      <alignment vertical="center"/>
    </xf>
    <xf numFmtId="166" fontId="0" fillId="0" borderId="27" xfId="0" applyNumberFormat="1" applyBorder="1" applyAlignment="1" applyProtection="1">
      <alignment vertical="center"/>
    </xf>
    <xf numFmtId="166" fontId="5" fillId="0" borderId="28" xfId="1" applyNumberFormat="1" applyFont="1" applyBorder="1" applyAlignment="1" applyProtection="1">
      <alignment vertical="center"/>
    </xf>
    <xf numFmtId="0" fontId="0" fillId="0" borderId="28" xfId="0" applyBorder="1" applyAlignment="1" applyProtection="1">
      <alignment horizontal="right" vertical="center"/>
    </xf>
    <xf numFmtId="0" fontId="0" fillId="0" borderId="12" xfId="0" applyBorder="1" applyAlignment="1">
      <alignment vertical="center"/>
    </xf>
    <xf numFmtId="0" fontId="1" fillId="0" borderId="0" xfId="0" applyFont="1" applyAlignment="1" applyProtection="1">
      <alignment horizontal="left" vertical="center"/>
    </xf>
    <xf numFmtId="0" fontId="0" fillId="0" borderId="0" xfId="0" applyFont="1" applyAlignment="1" applyProtection="1">
      <alignment vertical="center"/>
    </xf>
    <xf numFmtId="0" fontId="9" fillId="0" borderId="0" xfId="0" applyFont="1" applyAlignment="1" applyProtection="1">
      <alignment horizontal="center" vertical="center"/>
    </xf>
    <xf numFmtId="0" fontId="6" fillId="3" borderId="19" xfId="0" applyFont="1" applyFill="1" applyBorder="1" applyAlignment="1" applyProtection="1">
      <alignment vertical="center"/>
    </xf>
    <xf numFmtId="0" fontId="5" fillId="0" borderId="52" xfId="0" applyFont="1" applyBorder="1" applyAlignment="1" applyProtection="1">
      <alignment horizontal="left" vertical="center"/>
    </xf>
    <xf numFmtId="166" fontId="0" fillId="7" borderId="30" xfId="1" applyNumberFormat="1" applyFont="1" applyFill="1" applyBorder="1" applyAlignment="1" applyProtection="1">
      <alignment vertical="center"/>
    </xf>
    <xf numFmtId="0" fontId="2" fillId="3" borderId="24"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0" borderId="12" xfId="0" applyFont="1" applyBorder="1" applyAlignment="1" applyProtection="1">
      <alignment horizontal="center" vertical="center"/>
    </xf>
    <xf numFmtId="0" fontId="5" fillId="0" borderId="0" xfId="0" applyFont="1" applyAlignment="1" applyProtection="1">
      <alignment horizontal="right" vertical="center"/>
    </xf>
    <xf numFmtId="165" fontId="0" fillId="3" borderId="19" xfId="2" applyNumberFormat="1" applyFont="1" applyFill="1" applyBorder="1" applyAlignment="1" applyProtection="1">
      <alignment vertical="center"/>
    </xf>
    <xf numFmtId="0" fontId="0" fillId="0" borderId="7" xfId="0" applyBorder="1" applyAlignment="1" applyProtection="1">
      <alignment horizontal="center" vertical="center"/>
    </xf>
    <xf numFmtId="165" fontId="0" fillId="7" borderId="21" xfId="2" applyNumberFormat="1" applyFont="1" applyFill="1" applyBorder="1" applyAlignment="1" applyProtection="1">
      <alignment vertical="center"/>
    </xf>
    <xf numFmtId="44" fontId="0" fillId="3" borderId="24" xfId="2" applyNumberFormat="1" applyFont="1" applyFill="1" applyBorder="1" applyAlignment="1" applyProtection="1">
      <alignment vertical="center"/>
    </xf>
    <xf numFmtId="44" fontId="0" fillId="7" borderId="26" xfId="2" applyNumberFormat="1" applyFont="1" applyFill="1" applyBorder="1" applyAlignment="1" applyProtection="1">
      <alignment vertical="center"/>
    </xf>
    <xf numFmtId="165" fontId="3" fillId="8" borderId="14" xfId="2" applyNumberFormat="1" applyFont="1" applyFill="1" applyBorder="1" applyAlignment="1" applyProtection="1">
      <alignment vertical="center"/>
      <protection locked="0"/>
    </xf>
    <xf numFmtId="0" fontId="0" fillId="7" borderId="21" xfId="0" applyFill="1" applyBorder="1" applyAlignment="1" applyProtection="1">
      <alignment vertical="center"/>
    </xf>
    <xf numFmtId="165" fontId="0" fillId="3" borderId="22" xfId="0" applyNumberFormat="1" applyFill="1" applyBorder="1" applyAlignment="1" applyProtection="1">
      <alignment vertical="center"/>
    </xf>
    <xf numFmtId="0" fontId="0" fillId="7" borderId="23" xfId="0" applyFill="1" applyBorder="1" applyAlignment="1" applyProtection="1">
      <alignment vertical="center"/>
    </xf>
    <xf numFmtId="165" fontId="0" fillId="3" borderId="24" xfId="2" applyNumberFormat="1" applyFont="1" applyFill="1" applyBorder="1" applyAlignment="1" applyProtection="1">
      <alignment vertical="center"/>
    </xf>
    <xf numFmtId="44" fontId="0" fillId="7" borderId="26" xfId="2" applyNumberFormat="1" applyFont="1" applyFill="1" applyBorder="1" applyAlignment="1" applyProtection="1">
      <alignment horizontal="center" vertical="center"/>
    </xf>
    <xf numFmtId="44" fontId="0" fillId="3" borderId="48" xfId="2" applyFont="1" applyFill="1" applyBorder="1" applyAlignment="1" applyProtection="1">
      <alignment vertical="center"/>
    </xf>
    <xf numFmtId="0" fontId="0" fillId="0" borderId="41" xfId="0" applyBorder="1" applyAlignment="1" applyProtection="1">
      <alignment horizontal="right" vertical="center"/>
    </xf>
    <xf numFmtId="44" fontId="0" fillId="7" borderId="50" xfId="2" applyNumberFormat="1" applyFont="1" applyFill="1" applyBorder="1" applyAlignment="1" applyProtection="1">
      <alignment horizontal="center" vertical="center"/>
    </xf>
    <xf numFmtId="0" fontId="19" fillId="0" borderId="0" xfId="0" applyFont="1" applyAlignment="1" applyProtection="1">
      <alignment vertical="center"/>
    </xf>
    <xf numFmtId="0" fontId="19" fillId="0" borderId="0" xfId="0" applyFont="1" applyAlignment="1" applyProtection="1">
      <alignment horizontal="right" vertical="center"/>
    </xf>
    <xf numFmtId="165" fontId="0" fillId="3" borderId="24" xfId="0" applyNumberFormat="1" applyFill="1" applyBorder="1" applyAlignment="1" applyProtection="1">
      <alignment vertical="center"/>
    </xf>
    <xf numFmtId="0" fontId="0" fillId="7" borderId="26" xfId="0" applyFill="1" applyBorder="1" applyAlignment="1" applyProtection="1">
      <alignment vertical="center"/>
    </xf>
    <xf numFmtId="165" fontId="0" fillId="3" borderId="48" xfId="0" applyNumberFormat="1" applyFill="1" applyBorder="1" applyAlignment="1" applyProtection="1">
      <alignment vertical="center"/>
    </xf>
    <xf numFmtId="165" fontId="0" fillId="3" borderId="49" xfId="0" applyNumberFormat="1" applyFill="1" applyBorder="1" applyAlignment="1" applyProtection="1">
      <alignment vertical="center"/>
    </xf>
    <xf numFmtId="0" fontId="0" fillId="7" borderId="50" xfId="0" applyFill="1" applyBorder="1" applyAlignment="1" applyProtection="1">
      <alignment vertical="center"/>
    </xf>
    <xf numFmtId="165" fontId="3" fillId="8" borderId="43" xfId="2" applyNumberFormat="1" applyFont="1" applyFill="1" applyBorder="1" applyAlignment="1" applyProtection="1">
      <alignment vertical="center"/>
      <protection locked="0"/>
    </xf>
    <xf numFmtId="44" fontId="0" fillId="7" borderId="8" xfId="2" applyFont="1" applyFill="1" applyBorder="1" applyAlignment="1" applyProtection="1">
      <alignment vertical="center"/>
    </xf>
    <xf numFmtId="44" fontId="0" fillId="7" borderId="10" xfId="2" applyFont="1" applyFill="1" applyBorder="1" applyAlignment="1" applyProtection="1">
      <alignment vertical="center"/>
    </xf>
    <xf numFmtId="165" fontId="3" fillId="8" borderId="44" xfId="2" applyNumberFormat="1" applyFont="1" applyFill="1" applyBorder="1" applyAlignment="1" applyProtection="1">
      <alignment vertical="center"/>
      <protection locked="0"/>
    </xf>
    <xf numFmtId="44" fontId="0" fillId="7" borderId="13" xfId="2" applyFont="1" applyFill="1" applyBorder="1" applyAlignment="1" applyProtection="1">
      <alignment vertical="center"/>
    </xf>
    <xf numFmtId="9" fontId="11" fillId="8" borderId="30" xfId="3" applyFont="1" applyFill="1" applyBorder="1" applyAlignment="1" applyProtection="1">
      <alignment vertical="center"/>
      <protection locked="0"/>
    </xf>
    <xf numFmtId="44" fontId="1" fillId="0" borderId="0" xfId="2" applyFont="1" applyAlignment="1" applyProtection="1">
      <alignment vertical="center"/>
    </xf>
    <xf numFmtId="165" fontId="3" fillId="8" borderId="2" xfId="2" applyNumberFormat="1" applyFont="1" applyFill="1" applyBorder="1" applyAlignment="1" applyProtection="1">
      <alignment vertical="center"/>
      <protection locked="0"/>
    </xf>
    <xf numFmtId="165" fontId="3" fillId="8" borderId="7" xfId="2" applyNumberFormat="1" applyFont="1" applyFill="1" applyBorder="1" applyAlignment="1" applyProtection="1">
      <alignment vertical="center"/>
      <protection locked="0"/>
    </xf>
    <xf numFmtId="0" fontId="0" fillId="0" borderId="41" xfId="0" applyBorder="1" applyAlignment="1" applyProtection="1">
      <alignment vertical="center"/>
    </xf>
    <xf numFmtId="44" fontId="0" fillId="7" borderId="50" xfId="2" applyFont="1" applyFill="1" applyBorder="1" applyAlignment="1" applyProtection="1">
      <alignment vertical="center"/>
    </xf>
    <xf numFmtId="165" fontId="0" fillId="0" borderId="12" xfId="0" applyNumberFormat="1" applyBorder="1" applyAlignment="1" applyProtection="1">
      <alignment vertical="center"/>
    </xf>
    <xf numFmtId="0" fontId="5" fillId="0" borderId="12" xfId="0" applyFont="1" applyBorder="1" applyAlignment="1" applyProtection="1">
      <alignment horizontal="right" vertical="center"/>
    </xf>
    <xf numFmtId="44" fontId="0" fillId="7" borderId="54" xfId="2" applyFont="1" applyFill="1" applyBorder="1" applyAlignment="1" applyProtection="1">
      <alignment vertical="center"/>
    </xf>
    <xf numFmtId="0" fontId="0" fillId="0" borderId="19" xfId="0" applyBorder="1" applyAlignment="1" applyProtection="1">
      <alignment vertical="center"/>
    </xf>
    <xf numFmtId="0" fontId="0" fillId="0" borderId="4" xfId="0" applyBorder="1" applyAlignment="1" applyProtection="1">
      <alignment horizontal="right" vertical="center"/>
    </xf>
    <xf numFmtId="0" fontId="0" fillId="0" borderId="22" xfId="0" applyBorder="1" applyAlignment="1" applyProtection="1">
      <alignment vertical="center"/>
    </xf>
    <xf numFmtId="0" fontId="0" fillId="0" borderId="24" xfId="0" applyBorder="1" applyAlignment="1" applyProtection="1">
      <alignment vertical="center"/>
    </xf>
    <xf numFmtId="0" fontId="0" fillId="0" borderId="12" xfId="0" applyBorder="1" applyAlignment="1" applyProtection="1">
      <alignment horizontal="center" vertical="center"/>
    </xf>
    <xf numFmtId="166" fontId="0" fillId="7" borderId="26" xfId="0" applyNumberFormat="1" applyFill="1" applyBorder="1" applyAlignment="1" applyProtection="1">
      <alignment horizontal="center" vertical="center"/>
    </xf>
    <xf numFmtId="166" fontId="0" fillId="0" borderId="0" xfId="1" applyNumberFormat="1" applyFont="1" applyBorder="1" applyAlignment="1" applyProtection="1">
      <alignment horizontal="center" vertical="center"/>
    </xf>
    <xf numFmtId="166" fontId="0" fillId="7" borderId="23" xfId="1" applyNumberFormat="1" applyFont="1" applyFill="1" applyBorder="1" applyAlignment="1" applyProtection="1">
      <alignment horizontal="center" vertical="center"/>
    </xf>
    <xf numFmtId="166" fontId="0" fillId="7" borderId="26" xfId="1" applyNumberFormat="1" applyFont="1" applyFill="1" applyBorder="1" applyAlignment="1" applyProtection="1">
      <alignment horizontal="center" vertical="center"/>
    </xf>
    <xf numFmtId="0" fontId="0" fillId="0" borderId="51" xfId="0" applyBorder="1" applyAlignment="1" applyProtection="1">
      <alignment vertical="center"/>
    </xf>
    <xf numFmtId="166" fontId="0" fillId="0" borderId="7" xfId="1" applyNumberFormat="1" applyFont="1" applyBorder="1" applyAlignment="1" applyProtection="1">
      <alignment horizontal="center" vertical="center"/>
    </xf>
    <xf numFmtId="166" fontId="0" fillId="7" borderId="47" xfId="1" applyNumberFormat="1" applyFont="1" applyFill="1" applyBorder="1" applyAlignment="1" applyProtection="1">
      <alignment horizontal="center" vertical="center"/>
    </xf>
    <xf numFmtId="0" fontId="0" fillId="0" borderId="48" xfId="0" applyBorder="1" applyAlignment="1" applyProtection="1">
      <alignment vertical="center"/>
    </xf>
    <xf numFmtId="0" fontId="5" fillId="0" borderId="0" xfId="0" applyFont="1" applyBorder="1" applyAlignment="1" applyProtection="1">
      <alignment horizontal="right" vertical="center"/>
    </xf>
    <xf numFmtId="0" fontId="9" fillId="0" borderId="0" xfId="0" applyFont="1" applyAlignment="1" applyProtection="1">
      <alignment vertical="center"/>
    </xf>
    <xf numFmtId="44" fontId="9" fillId="0" borderId="0" xfId="0" applyNumberFormat="1" applyFont="1" applyAlignment="1" applyProtection="1">
      <alignment vertical="center"/>
    </xf>
    <xf numFmtId="165" fontId="9" fillId="0" borderId="0" xfId="0" applyNumberFormat="1" applyFont="1" applyAlignment="1" applyProtection="1">
      <alignment vertical="center"/>
    </xf>
    <xf numFmtId="0" fontId="13" fillId="0" borderId="0" xfId="0" applyFont="1" applyAlignment="1">
      <alignment vertical="center"/>
    </xf>
    <xf numFmtId="165" fontId="5" fillId="0" borderId="0" xfId="0" applyNumberFormat="1" applyFont="1" applyAlignment="1" applyProtection="1">
      <alignment vertical="center"/>
    </xf>
    <xf numFmtId="0" fontId="0" fillId="0" borderId="0" xfId="0" applyBorder="1" applyAlignment="1">
      <alignment vertical="center"/>
    </xf>
    <xf numFmtId="166" fontId="4" fillId="7" borderId="33" xfId="1" applyNumberFormat="1" applyFont="1" applyFill="1" applyBorder="1" applyAlignment="1" applyProtection="1">
      <alignment vertical="center" wrapText="1"/>
    </xf>
    <xf numFmtId="0" fontId="0" fillId="0" borderId="0" xfId="0" applyBorder="1" applyAlignment="1" applyProtection="1">
      <alignment horizontal="center" vertical="center"/>
    </xf>
    <xf numFmtId="0" fontId="6" fillId="3" borderId="51" xfId="0" applyFont="1" applyFill="1" applyBorder="1" applyAlignment="1" applyProtection="1">
      <alignment vertical="center"/>
    </xf>
    <xf numFmtId="0" fontId="0" fillId="0" borderId="14" xfId="0" applyBorder="1" applyAlignment="1" applyProtection="1">
      <alignment horizontal="right" vertical="center"/>
    </xf>
    <xf numFmtId="0" fontId="0" fillId="0" borderId="44" xfId="0" applyBorder="1" applyAlignment="1" applyProtection="1">
      <alignment horizontal="right" vertical="center"/>
    </xf>
    <xf numFmtId="166" fontId="0" fillId="3" borderId="19" xfId="1" applyNumberFormat="1" applyFont="1" applyFill="1" applyBorder="1" applyAlignment="1" applyProtection="1">
      <alignment vertical="center"/>
    </xf>
    <xf numFmtId="166" fontId="0" fillId="3" borderId="21" xfId="1" applyNumberFormat="1" applyFont="1" applyFill="1" applyBorder="1" applyAlignment="1" applyProtection="1">
      <alignment vertical="center"/>
    </xf>
    <xf numFmtId="43" fontId="3" fillId="8" borderId="22" xfId="1" applyFont="1" applyFill="1" applyBorder="1" applyAlignment="1" applyProtection="1">
      <alignment vertical="center"/>
      <protection locked="0"/>
    </xf>
    <xf numFmtId="166" fontId="0" fillId="3" borderId="23" xfId="1" applyNumberFormat="1" applyFont="1" applyFill="1" applyBorder="1" applyAlignment="1" applyProtection="1">
      <alignment vertical="center"/>
    </xf>
    <xf numFmtId="166" fontId="0" fillId="3" borderId="24" xfId="1" applyNumberFormat="1" applyFont="1" applyFill="1" applyBorder="1" applyAlignment="1" applyProtection="1">
      <alignment vertical="center"/>
    </xf>
    <xf numFmtId="166" fontId="0" fillId="3" borderId="26" xfId="1" applyNumberFormat="1" applyFont="1" applyFill="1" applyBorder="1" applyAlignment="1" applyProtection="1">
      <alignment vertical="center"/>
    </xf>
    <xf numFmtId="169" fontId="3" fillId="8" borderId="19" xfId="3" applyNumberFormat="1" applyFont="1" applyFill="1" applyBorder="1" applyAlignment="1" applyProtection="1">
      <alignment vertical="center"/>
      <protection locked="0"/>
    </xf>
    <xf numFmtId="0" fontId="0" fillId="10" borderId="21" xfId="0" applyFill="1" applyBorder="1" applyAlignment="1" applyProtection="1">
      <alignment vertical="center"/>
    </xf>
    <xf numFmtId="166" fontId="0" fillId="10" borderId="22" xfId="1" applyNumberFormat="1" applyFont="1" applyFill="1" applyBorder="1" applyAlignment="1" applyProtection="1">
      <alignment horizontal="center" vertical="center"/>
    </xf>
    <xf numFmtId="166" fontId="0" fillId="10" borderId="23" xfId="1" applyNumberFormat="1" applyFont="1" applyFill="1" applyBorder="1" applyAlignment="1" applyProtection="1">
      <alignment horizontal="center" vertical="center"/>
    </xf>
    <xf numFmtId="44" fontId="0" fillId="10" borderId="24" xfId="0" applyNumberFormat="1" applyFill="1" applyBorder="1" applyAlignment="1" applyProtection="1">
      <alignment horizontal="center" vertical="center"/>
    </xf>
    <xf numFmtId="0" fontId="0" fillId="10" borderId="26" xfId="0" applyFill="1" applyBorder="1" applyAlignment="1" applyProtection="1">
      <alignment horizontal="center" vertical="center"/>
    </xf>
    <xf numFmtId="165" fontId="0" fillId="5" borderId="55" xfId="0" applyNumberFormat="1" applyFill="1" applyBorder="1" applyAlignment="1" applyProtection="1">
      <alignment vertical="center"/>
    </xf>
    <xf numFmtId="166" fontId="0" fillId="10" borderId="61" xfId="0" applyNumberFormat="1" applyFill="1" applyBorder="1" applyAlignment="1" applyProtection="1">
      <alignment vertical="center"/>
    </xf>
    <xf numFmtId="0" fontId="0" fillId="10" borderId="23" xfId="0" applyFill="1" applyBorder="1" applyAlignment="1" applyProtection="1">
      <alignment vertical="center"/>
    </xf>
    <xf numFmtId="166" fontId="0" fillId="10" borderId="62" xfId="1" applyNumberFormat="1" applyFont="1" applyFill="1" applyBorder="1" applyAlignment="1" applyProtection="1">
      <alignment horizontal="right" vertical="center"/>
    </xf>
    <xf numFmtId="166" fontId="0" fillId="10" borderId="56" xfId="0" applyNumberFormat="1" applyFill="1" applyBorder="1" applyAlignment="1" applyProtection="1">
      <alignment horizontal="center" vertical="center"/>
    </xf>
    <xf numFmtId="166" fontId="0" fillId="10" borderId="51" xfId="1" applyNumberFormat="1" applyFont="1" applyFill="1" applyBorder="1" applyAlignment="1" applyProtection="1">
      <alignment horizontal="center" vertical="center"/>
    </xf>
    <xf numFmtId="166" fontId="0" fillId="10" borderId="47" xfId="1" applyNumberFormat="1" applyFont="1" applyFill="1" applyBorder="1" applyAlignment="1" applyProtection="1">
      <alignment horizontal="center" vertical="center"/>
    </xf>
    <xf numFmtId="165" fontId="0" fillId="10" borderId="48" xfId="0" applyNumberFormat="1" applyFill="1" applyBorder="1" applyAlignment="1" applyProtection="1">
      <alignment vertical="center"/>
    </xf>
    <xf numFmtId="0" fontId="0" fillId="10" borderId="50" xfId="0" applyFill="1" applyBorder="1" applyAlignment="1" applyProtection="1">
      <alignment vertical="center"/>
    </xf>
    <xf numFmtId="166" fontId="0" fillId="5" borderId="19" xfId="0" applyNumberFormat="1" applyFill="1" applyBorder="1" applyAlignment="1" applyProtection="1">
      <alignment vertical="center"/>
    </xf>
    <xf numFmtId="166" fontId="0" fillId="5" borderId="39" xfId="0" applyNumberFormat="1" applyFill="1" applyBorder="1" applyAlignment="1" applyProtection="1">
      <alignment vertical="center"/>
    </xf>
    <xf numFmtId="166" fontId="0" fillId="5" borderId="23" xfId="0" applyNumberFormat="1" applyFill="1" applyBorder="1" applyAlignment="1" applyProtection="1">
      <alignment vertical="center"/>
    </xf>
    <xf numFmtId="166" fontId="0" fillId="5" borderId="24" xfId="1" applyNumberFormat="1" applyFont="1" applyFill="1" applyBorder="1" applyAlignment="1" applyProtection="1">
      <alignment horizontal="right" vertical="center"/>
    </xf>
    <xf numFmtId="166" fontId="0" fillId="5" borderId="26" xfId="0" applyNumberFormat="1" applyFill="1" applyBorder="1" applyAlignment="1" applyProtection="1">
      <alignment horizontal="center" vertical="center"/>
    </xf>
    <xf numFmtId="166" fontId="0" fillId="5" borderId="21" xfId="0" applyNumberFormat="1" applyFill="1" applyBorder="1" applyAlignment="1" applyProtection="1">
      <alignment vertical="center"/>
    </xf>
    <xf numFmtId="166" fontId="0" fillId="5" borderId="22" xfId="1" applyNumberFormat="1" applyFont="1" applyFill="1" applyBorder="1" applyAlignment="1" applyProtection="1">
      <alignment horizontal="center" vertical="center"/>
    </xf>
    <xf numFmtId="166" fontId="0" fillId="5" borderId="23" xfId="1" applyNumberFormat="1" applyFont="1" applyFill="1" applyBorder="1" applyAlignment="1" applyProtection="1">
      <alignment horizontal="center" vertical="center"/>
    </xf>
    <xf numFmtId="44" fontId="0" fillId="5" borderId="24" xfId="0" applyNumberFormat="1" applyFill="1" applyBorder="1" applyAlignment="1" applyProtection="1">
      <alignment horizontal="center" vertical="center"/>
    </xf>
    <xf numFmtId="166" fontId="0" fillId="5" borderId="26" xfId="1" applyNumberFormat="1" applyFont="1" applyFill="1" applyBorder="1" applyAlignment="1" applyProtection="1">
      <alignment horizontal="center" vertical="center"/>
    </xf>
    <xf numFmtId="166" fontId="0" fillId="5" borderId="51" xfId="1" applyNumberFormat="1" applyFont="1" applyFill="1" applyBorder="1" applyAlignment="1" applyProtection="1">
      <alignment horizontal="center" vertical="center"/>
    </xf>
    <xf numFmtId="166" fontId="0" fillId="5" borderId="47" xfId="1" applyNumberFormat="1" applyFont="1" applyFill="1" applyBorder="1" applyAlignment="1" applyProtection="1">
      <alignment horizontal="center" vertical="center"/>
    </xf>
    <xf numFmtId="165" fontId="0" fillId="5" borderId="48" xfId="0" applyNumberFormat="1" applyFill="1" applyBorder="1" applyAlignment="1" applyProtection="1">
      <alignment vertical="center"/>
    </xf>
    <xf numFmtId="0" fontId="0" fillId="5" borderId="50" xfId="0" applyFill="1" applyBorder="1" applyAlignment="1" applyProtection="1">
      <alignment vertical="center"/>
    </xf>
    <xf numFmtId="166" fontId="0" fillId="2" borderId="61" xfId="0" applyNumberFormat="1" applyFill="1" applyBorder="1" applyAlignment="1" applyProtection="1">
      <alignment vertical="center"/>
    </xf>
    <xf numFmtId="0" fontId="0" fillId="2" borderId="23" xfId="0" applyFill="1" applyBorder="1" applyAlignment="1" applyProtection="1">
      <alignment vertical="center"/>
    </xf>
    <xf numFmtId="166" fontId="0" fillId="2" borderId="24" xfId="1" applyNumberFormat="1" applyFont="1" applyFill="1" applyBorder="1" applyAlignment="1" applyProtection="1">
      <alignment horizontal="right" vertical="center"/>
    </xf>
    <xf numFmtId="0" fontId="0" fillId="2" borderId="26" xfId="0" applyFill="1" applyBorder="1" applyAlignment="1" applyProtection="1">
      <alignment vertical="center"/>
    </xf>
    <xf numFmtId="0" fontId="0" fillId="2" borderId="21" xfId="0" applyFill="1" applyBorder="1" applyAlignment="1" applyProtection="1">
      <alignment vertical="center"/>
    </xf>
    <xf numFmtId="166" fontId="0" fillId="2" borderId="22" xfId="1" applyNumberFormat="1" applyFont="1" applyFill="1" applyBorder="1" applyAlignment="1" applyProtection="1">
      <alignment horizontal="center" vertical="center"/>
    </xf>
    <xf numFmtId="166" fontId="0" fillId="2" borderId="23" xfId="1" applyNumberFormat="1" applyFont="1" applyFill="1" applyBorder="1" applyAlignment="1" applyProtection="1">
      <alignment horizontal="center" vertical="center"/>
    </xf>
    <xf numFmtId="44" fontId="0" fillId="2" borderId="24" xfId="0" applyNumberFormat="1" applyFill="1" applyBorder="1" applyAlignment="1" applyProtection="1">
      <alignment horizontal="center" vertical="center"/>
    </xf>
    <xf numFmtId="166" fontId="0" fillId="2" borderId="26" xfId="1" applyNumberFormat="1" applyFont="1" applyFill="1" applyBorder="1" applyAlignment="1" applyProtection="1">
      <alignment horizontal="center" vertical="center"/>
    </xf>
    <xf numFmtId="166" fontId="0" fillId="2" borderId="51" xfId="1" applyNumberFormat="1" applyFont="1" applyFill="1" applyBorder="1" applyAlignment="1" applyProtection="1">
      <alignment horizontal="center" vertical="center"/>
    </xf>
    <xf numFmtId="166" fontId="0" fillId="2" borderId="47" xfId="1" applyNumberFormat="1" applyFont="1" applyFill="1" applyBorder="1" applyAlignment="1" applyProtection="1">
      <alignment horizontal="center" vertical="center"/>
    </xf>
    <xf numFmtId="165" fontId="0" fillId="2" borderId="48" xfId="0" applyNumberFormat="1" applyFill="1" applyBorder="1" applyAlignment="1" applyProtection="1">
      <alignment vertical="center"/>
    </xf>
    <xf numFmtId="0" fontId="0" fillId="2" borderId="50" xfId="0" applyFill="1" applyBorder="1" applyAlignment="1" applyProtection="1">
      <alignment vertical="center"/>
    </xf>
    <xf numFmtId="166" fontId="0" fillId="6" borderId="61" xfId="0" applyNumberFormat="1" applyFill="1" applyBorder="1" applyAlignment="1" applyProtection="1">
      <alignment vertical="center"/>
    </xf>
    <xf numFmtId="166" fontId="0" fillId="6" borderId="24" xfId="1" applyNumberFormat="1" applyFont="1" applyFill="1" applyBorder="1" applyAlignment="1" applyProtection="1">
      <alignment horizontal="right" vertical="center"/>
    </xf>
    <xf numFmtId="166" fontId="0" fillId="6" borderId="26" xfId="0" applyNumberFormat="1" applyFill="1" applyBorder="1" applyAlignment="1" applyProtection="1">
      <alignment horizontal="center" vertical="center"/>
    </xf>
    <xf numFmtId="166" fontId="0" fillId="6" borderId="22" xfId="1" applyNumberFormat="1" applyFont="1" applyFill="1" applyBorder="1" applyAlignment="1" applyProtection="1">
      <alignment horizontal="center" vertical="center"/>
    </xf>
    <xf numFmtId="166" fontId="0" fillId="6" borderId="23" xfId="1" applyNumberFormat="1" applyFont="1" applyFill="1" applyBorder="1" applyAlignment="1" applyProtection="1">
      <alignment horizontal="center" vertical="center"/>
    </xf>
    <xf numFmtId="44" fontId="0" fillId="6" borderId="24" xfId="0" applyNumberFormat="1" applyFill="1" applyBorder="1" applyAlignment="1" applyProtection="1">
      <alignment horizontal="center" vertical="center"/>
    </xf>
    <xf numFmtId="166" fontId="0" fillId="6" borderId="26" xfId="1" applyNumberFormat="1" applyFont="1" applyFill="1" applyBorder="1" applyAlignment="1" applyProtection="1">
      <alignment horizontal="center" vertical="center"/>
    </xf>
    <xf numFmtId="166" fontId="0" fillId="6" borderId="51" xfId="1" applyNumberFormat="1" applyFont="1" applyFill="1" applyBorder="1" applyAlignment="1" applyProtection="1">
      <alignment horizontal="center" vertical="center"/>
    </xf>
    <xf numFmtId="166" fontId="0" fillId="6" borderId="47" xfId="1" applyNumberFormat="1" applyFont="1" applyFill="1" applyBorder="1" applyAlignment="1" applyProtection="1">
      <alignment horizontal="center" vertical="center"/>
    </xf>
    <xf numFmtId="165" fontId="0" fillId="6" borderId="48" xfId="0" applyNumberFormat="1" applyFill="1" applyBorder="1" applyAlignment="1" applyProtection="1">
      <alignment vertical="center"/>
    </xf>
    <xf numFmtId="0" fontId="0" fillId="6" borderId="50" xfId="0" applyFill="1" applyBorder="1" applyAlignment="1" applyProtection="1">
      <alignment vertical="center"/>
    </xf>
    <xf numFmtId="166" fontId="0" fillId="7" borderId="61" xfId="0" applyNumberFormat="1" applyFill="1" applyBorder="1" applyAlignment="1" applyProtection="1">
      <alignment vertical="center"/>
    </xf>
    <xf numFmtId="166" fontId="0" fillId="7" borderId="24" xfId="1" applyNumberFormat="1" applyFont="1" applyFill="1" applyBorder="1" applyAlignment="1" applyProtection="1">
      <alignment horizontal="right" vertical="center"/>
    </xf>
    <xf numFmtId="166" fontId="0" fillId="7" borderId="22" xfId="1" applyNumberFormat="1" applyFont="1" applyFill="1" applyBorder="1" applyAlignment="1" applyProtection="1">
      <alignment horizontal="center" vertical="center"/>
    </xf>
    <xf numFmtId="44" fontId="0" fillId="7" borderId="24" xfId="0" applyNumberFormat="1" applyFill="1" applyBorder="1" applyAlignment="1" applyProtection="1">
      <alignment horizontal="center" vertical="center"/>
    </xf>
    <xf numFmtId="166" fontId="0" fillId="7" borderId="51" xfId="1" applyNumberFormat="1" applyFont="1" applyFill="1" applyBorder="1" applyAlignment="1" applyProtection="1">
      <alignment horizontal="center" vertical="center"/>
    </xf>
    <xf numFmtId="165" fontId="0" fillId="7" borderId="48" xfId="0" applyNumberFormat="1" applyFill="1" applyBorder="1" applyAlignment="1" applyProtection="1">
      <alignment vertical="center"/>
    </xf>
    <xf numFmtId="165" fontId="9" fillId="10" borderId="19" xfId="0" applyNumberFormat="1" applyFont="1" applyFill="1" applyBorder="1" applyAlignment="1" applyProtection="1">
      <alignment vertical="center"/>
    </xf>
    <xf numFmtId="165" fontId="9" fillId="10" borderId="24" xfId="0" applyNumberFormat="1" applyFont="1" applyFill="1" applyBorder="1" applyAlignment="1" applyProtection="1">
      <alignment vertical="center"/>
    </xf>
    <xf numFmtId="165" fontId="9" fillId="5" borderId="19" xfId="0" applyNumberFormat="1" applyFont="1" applyFill="1" applyBorder="1" applyAlignment="1" applyProtection="1">
      <alignment vertical="center"/>
    </xf>
    <xf numFmtId="165" fontId="9" fillId="5" borderId="24" xfId="0" applyNumberFormat="1" applyFont="1" applyFill="1" applyBorder="1" applyAlignment="1" applyProtection="1">
      <alignment vertical="center"/>
    </xf>
    <xf numFmtId="165" fontId="9" fillId="2" borderId="19" xfId="0" applyNumberFormat="1" applyFont="1" applyFill="1" applyBorder="1" applyAlignment="1" applyProtection="1">
      <alignment vertical="center"/>
    </xf>
    <xf numFmtId="165" fontId="9" fillId="2" borderId="24" xfId="0" applyNumberFormat="1" applyFont="1" applyFill="1" applyBorder="1" applyAlignment="1" applyProtection="1">
      <alignment vertical="center"/>
    </xf>
    <xf numFmtId="165" fontId="23" fillId="6" borderId="19" xfId="0" applyNumberFormat="1" applyFont="1" applyFill="1" applyBorder="1" applyAlignment="1" applyProtection="1">
      <alignment vertical="center"/>
    </xf>
    <xf numFmtId="165" fontId="23" fillId="6" borderId="24" xfId="0" applyNumberFormat="1" applyFont="1" applyFill="1" applyBorder="1" applyAlignment="1" applyProtection="1">
      <alignment vertical="center"/>
    </xf>
    <xf numFmtId="165" fontId="9" fillId="7" borderId="19" xfId="0" applyNumberFormat="1" applyFont="1" applyFill="1" applyBorder="1" applyAlignment="1" applyProtection="1">
      <alignment vertical="center"/>
    </xf>
    <xf numFmtId="165" fontId="9" fillId="7" borderId="24" xfId="0" applyNumberFormat="1" applyFont="1" applyFill="1" applyBorder="1" applyAlignment="1" applyProtection="1">
      <alignment vertical="center"/>
    </xf>
    <xf numFmtId="0" fontId="2" fillId="10" borderId="9" xfId="0" applyFont="1" applyFill="1" applyBorder="1" applyAlignment="1" applyProtection="1">
      <alignment vertical="center"/>
    </xf>
    <xf numFmtId="0" fontId="2" fillId="10" borderId="10" xfId="0" applyFont="1" applyFill="1" applyBorder="1" applyAlignment="1" applyProtection="1">
      <alignment vertical="center"/>
    </xf>
    <xf numFmtId="44" fontId="3" fillId="8" borderId="19" xfId="2" applyFont="1" applyFill="1" applyBorder="1" applyAlignment="1" applyProtection="1">
      <alignment vertical="center"/>
      <protection locked="0"/>
    </xf>
    <xf numFmtId="44" fontId="0" fillId="10" borderId="8" xfId="2" applyFont="1" applyFill="1" applyBorder="1" applyAlignment="1" applyProtection="1">
      <alignment vertical="center"/>
    </xf>
    <xf numFmtId="44" fontId="3" fillId="8" borderId="22" xfId="2" applyFont="1" applyFill="1" applyBorder="1" applyAlignment="1" applyProtection="1">
      <alignment vertical="center"/>
      <protection locked="0"/>
    </xf>
    <xf numFmtId="44" fontId="0" fillId="10" borderId="10" xfId="2" applyFont="1" applyFill="1" applyBorder="1" applyAlignment="1" applyProtection="1">
      <alignment vertical="center"/>
    </xf>
    <xf numFmtId="44" fontId="3" fillId="8" borderId="24" xfId="2" applyFont="1" applyFill="1" applyBorder="1" applyAlignment="1" applyProtection="1">
      <alignment vertical="center"/>
      <protection locked="0"/>
    </xf>
    <xf numFmtId="44" fontId="0" fillId="10" borderId="13" xfId="2" applyFont="1" applyFill="1" applyBorder="1" applyAlignment="1" applyProtection="1">
      <alignment vertical="center"/>
    </xf>
    <xf numFmtId="44" fontId="0" fillId="10" borderId="22" xfId="2" applyFont="1" applyFill="1" applyBorder="1" applyAlignment="1" applyProtection="1">
      <alignment vertical="center"/>
    </xf>
    <xf numFmtId="9" fontId="11" fillId="8" borderId="23" xfId="3" applyFont="1" applyFill="1" applyBorder="1" applyAlignment="1" applyProtection="1">
      <alignment vertical="center"/>
      <protection locked="0"/>
    </xf>
    <xf numFmtId="44" fontId="3" fillId="8" borderId="62" xfId="2" applyFont="1" applyFill="1" applyBorder="1" applyAlignment="1" applyProtection="1">
      <alignment vertical="center"/>
      <protection locked="0"/>
    </xf>
    <xf numFmtId="44" fontId="3" fillId="8" borderId="51" xfId="2" applyFont="1" applyFill="1" applyBorder="1" applyAlignment="1" applyProtection="1">
      <alignment vertical="center"/>
      <protection locked="0"/>
    </xf>
    <xf numFmtId="44" fontId="0" fillId="10" borderId="48" xfId="2" applyFont="1" applyFill="1" applyBorder="1" applyAlignment="1" applyProtection="1">
      <alignment vertical="center"/>
    </xf>
    <xf numFmtId="44" fontId="0" fillId="10" borderId="50" xfId="2" applyFont="1" applyFill="1" applyBorder="1" applyAlignment="1" applyProtection="1">
      <alignment vertical="center"/>
    </xf>
    <xf numFmtId="165" fontId="0" fillId="10" borderId="63" xfId="2" applyNumberFormat="1" applyFont="1" applyFill="1" applyBorder="1" applyAlignment="1" applyProtection="1">
      <alignment vertical="center"/>
    </xf>
    <xf numFmtId="44" fontId="0" fillId="10" borderId="54" xfId="2" applyFont="1" applyFill="1" applyBorder="1" applyAlignment="1" applyProtection="1">
      <alignment vertical="center"/>
    </xf>
    <xf numFmtId="0" fontId="2" fillId="5" borderId="9" xfId="0" applyFont="1" applyFill="1" applyBorder="1" applyAlignment="1" applyProtection="1">
      <alignment vertical="center"/>
    </xf>
    <xf numFmtId="0" fontId="2" fillId="5" borderId="10" xfId="0" applyFont="1" applyFill="1" applyBorder="1" applyAlignment="1" applyProtection="1">
      <alignment vertical="center"/>
    </xf>
    <xf numFmtId="44" fontId="0" fillId="5" borderId="8" xfId="2" applyFont="1" applyFill="1" applyBorder="1" applyAlignment="1" applyProtection="1">
      <alignment vertical="center"/>
    </xf>
    <xf numFmtId="44" fontId="0" fillId="5" borderId="10" xfId="2" applyFont="1" applyFill="1" applyBorder="1" applyAlignment="1" applyProtection="1">
      <alignment vertical="center"/>
    </xf>
    <xf numFmtId="44" fontId="0" fillId="5" borderId="13" xfId="2" applyFont="1" applyFill="1" applyBorder="1" applyAlignment="1" applyProtection="1">
      <alignment vertical="center"/>
    </xf>
    <xf numFmtId="44" fontId="0" fillId="5" borderId="22" xfId="2" applyFont="1" applyFill="1" applyBorder="1" applyAlignment="1" applyProtection="1">
      <alignment vertical="center"/>
    </xf>
    <xf numFmtId="44" fontId="0" fillId="5" borderId="48" xfId="2" applyFont="1" applyFill="1" applyBorder="1" applyAlignment="1" applyProtection="1">
      <alignment vertical="center"/>
    </xf>
    <xf numFmtId="44" fontId="0" fillId="5" borderId="50" xfId="2" applyFont="1" applyFill="1" applyBorder="1" applyAlignment="1" applyProtection="1">
      <alignment vertical="center"/>
    </xf>
    <xf numFmtId="165" fontId="0" fillId="5" borderId="63" xfId="2" applyNumberFormat="1" applyFont="1" applyFill="1" applyBorder="1" applyAlignment="1" applyProtection="1">
      <alignment vertical="center"/>
    </xf>
    <xf numFmtId="44" fontId="0" fillId="5" borderId="54" xfId="2" applyFont="1" applyFill="1" applyBorder="1" applyAlignment="1" applyProtection="1">
      <alignment vertical="center"/>
    </xf>
    <xf numFmtId="0" fontId="2" fillId="2" borderId="9" xfId="0" applyFont="1" applyFill="1" applyBorder="1" applyAlignment="1" applyProtection="1">
      <alignment vertical="center"/>
    </xf>
    <xf numFmtId="0" fontId="2" fillId="2" borderId="10" xfId="0" applyFont="1" applyFill="1" applyBorder="1" applyAlignment="1" applyProtection="1">
      <alignment vertical="center"/>
    </xf>
    <xf numFmtId="44" fontId="0" fillId="2" borderId="8" xfId="2" applyFont="1" applyFill="1" applyBorder="1" applyAlignment="1" applyProtection="1">
      <alignment vertical="center"/>
    </xf>
    <xf numFmtId="44" fontId="0" fillId="2" borderId="10" xfId="2" applyFont="1" applyFill="1" applyBorder="1" applyAlignment="1" applyProtection="1">
      <alignment vertical="center"/>
    </xf>
    <xf numFmtId="44" fontId="0" fillId="2" borderId="13" xfId="2" applyFont="1" applyFill="1" applyBorder="1" applyAlignment="1" applyProtection="1">
      <alignment vertical="center"/>
    </xf>
    <xf numFmtId="44" fontId="0" fillId="2" borderId="22" xfId="2" applyFont="1" applyFill="1" applyBorder="1" applyAlignment="1" applyProtection="1">
      <alignment vertical="center"/>
    </xf>
    <xf numFmtId="44" fontId="0" fillId="2" borderId="48" xfId="2" applyFont="1" applyFill="1" applyBorder="1" applyAlignment="1" applyProtection="1">
      <alignment vertical="center"/>
    </xf>
    <xf numFmtId="44" fontId="0" fillId="2" borderId="50" xfId="2" applyFont="1" applyFill="1" applyBorder="1" applyAlignment="1" applyProtection="1">
      <alignment vertical="center"/>
    </xf>
    <xf numFmtId="165" fontId="0" fillId="2" borderId="63" xfId="2" applyNumberFormat="1" applyFont="1" applyFill="1" applyBorder="1" applyAlignment="1" applyProtection="1">
      <alignment vertical="center"/>
    </xf>
    <xf numFmtId="44" fontId="0" fillId="2" borderId="54" xfId="2" applyFont="1" applyFill="1" applyBorder="1" applyAlignment="1" applyProtection="1">
      <alignment vertical="center"/>
    </xf>
    <xf numFmtId="0" fontId="2" fillId="6" borderId="9" xfId="0" applyFont="1" applyFill="1" applyBorder="1" applyAlignment="1" applyProtection="1">
      <alignment vertical="center"/>
    </xf>
    <xf numFmtId="0" fontId="2" fillId="6" borderId="10" xfId="0" applyFont="1" applyFill="1" applyBorder="1" applyAlignment="1" applyProtection="1">
      <alignment vertical="center"/>
    </xf>
    <xf numFmtId="44" fontId="0" fillId="6" borderId="8" xfId="2" applyFont="1" applyFill="1" applyBorder="1" applyAlignment="1" applyProtection="1">
      <alignment vertical="center"/>
    </xf>
    <xf numFmtId="44" fontId="0" fillId="6" borderId="10" xfId="2" applyFont="1" applyFill="1" applyBorder="1" applyAlignment="1" applyProtection="1">
      <alignment vertical="center"/>
    </xf>
    <xf numFmtId="44" fontId="0" fillId="6" borderId="13" xfId="2" applyFont="1" applyFill="1" applyBorder="1" applyAlignment="1" applyProtection="1">
      <alignment vertical="center"/>
    </xf>
    <xf numFmtId="44" fontId="0" fillId="6" borderId="22" xfId="2" applyFont="1" applyFill="1" applyBorder="1" applyAlignment="1" applyProtection="1">
      <alignment vertical="center"/>
    </xf>
    <xf numFmtId="44" fontId="0" fillId="6" borderId="48" xfId="2" applyFont="1" applyFill="1" applyBorder="1" applyAlignment="1" applyProtection="1">
      <alignment vertical="center"/>
    </xf>
    <xf numFmtId="44" fontId="0" fillId="6" borderId="50" xfId="2" applyFont="1" applyFill="1" applyBorder="1" applyAlignment="1" applyProtection="1">
      <alignment vertical="center"/>
    </xf>
    <xf numFmtId="165" fontId="0" fillId="6" borderId="63" xfId="2" applyNumberFormat="1" applyFont="1" applyFill="1" applyBorder="1" applyAlignment="1" applyProtection="1">
      <alignment vertical="center"/>
    </xf>
    <xf numFmtId="44" fontId="0" fillId="6" borderId="54" xfId="2" applyFont="1" applyFill="1" applyBorder="1" applyAlignment="1" applyProtection="1">
      <alignment vertical="center"/>
    </xf>
    <xf numFmtId="0" fontId="2" fillId="7" borderId="9" xfId="0" applyFont="1" applyFill="1" applyBorder="1" applyAlignment="1" applyProtection="1">
      <alignment vertical="center"/>
    </xf>
    <xf numFmtId="44" fontId="0" fillId="7" borderId="22" xfId="2" applyFont="1" applyFill="1" applyBorder="1" applyAlignment="1" applyProtection="1">
      <alignment vertical="center"/>
    </xf>
    <xf numFmtId="44" fontId="0" fillId="7" borderId="48" xfId="2" applyFont="1" applyFill="1" applyBorder="1" applyAlignment="1" applyProtection="1">
      <alignment vertical="center"/>
    </xf>
    <xf numFmtId="165" fontId="0" fillId="7" borderId="63" xfId="2" applyNumberFormat="1" applyFont="1" applyFill="1" applyBorder="1" applyAlignment="1" applyProtection="1">
      <alignment vertical="center"/>
    </xf>
    <xf numFmtId="0" fontId="0" fillId="5" borderId="60" xfId="0" applyFill="1" applyBorder="1" applyAlignment="1" applyProtection="1">
      <alignment vertical="center"/>
    </xf>
    <xf numFmtId="165" fontId="0" fillId="10" borderId="19" xfId="0" applyNumberFormat="1" applyFill="1" applyBorder="1" applyAlignment="1" applyProtection="1">
      <alignment vertical="center"/>
    </xf>
    <xf numFmtId="165" fontId="0" fillId="10" borderId="22" xfId="0" applyNumberFormat="1" applyFill="1" applyBorder="1" applyAlignment="1" applyProtection="1">
      <alignment vertical="center"/>
    </xf>
    <xf numFmtId="165" fontId="0" fillId="10" borderId="24" xfId="0" applyNumberFormat="1" applyFill="1" applyBorder="1" applyAlignment="1" applyProtection="1">
      <alignment vertical="center"/>
    </xf>
    <xf numFmtId="0" fontId="0" fillId="10" borderId="26" xfId="0" applyFill="1" applyBorder="1" applyAlignment="1" applyProtection="1">
      <alignment vertical="center"/>
    </xf>
    <xf numFmtId="165" fontId="0" fillId="5" borderId="19" xfId="0" applyNumberFormat="1" applyFill="1" applyBorder="1" applyAlignment="1" applyProtection="1">
      <alignment vertical="center"/>
    </xf>
    <xf numFmtId="0" fontId="0" fillId="5" borderId="21" xfId="0" applyFill="1" applyBorder="1" applyAlignment="1" applyProtection="1">
      <alignment vertical="center"/>
    </xf>
    <xf numFmtId="165" fontId="0" fillId="5" borderId="22" xfId="0" applyNumberFormat="1" applyFill="1" applyBorder="1" applyAlignment="1" applyProtection="1">
      <alignment vertical="center"/>
    </xf>
    <xf numFmtId="0" fontId="0" fillId="5" borderId="23" xfId="0" applyFill="1" applyBorder="1" applyAlignment="1" applyProtection="1">
      <alignment vertical="center"/>
    </xf>
    <xf numFmtId="165" fontId="0" fillId="5" borderId="24" xfId="0" applyNumberFormat="1" applyFill="1" applyBorder="1" applyAlignment="1" applyProtection="1">
      <alignment vertical="center"/>
    </xf>
    <xf numFmtId="0" fontId="0" fillId="5" borderId="26" xfId="0" applyFill="1" applyBorder="1" applyAlignment="1" applyProtection="1">
      <alignment vertical="center"/>
    </xf>
    <xf numFmtId="165" fontId="0" fillId="2" borderId="19" xfId="0" applyNumberFormat="1" applyFill="1" applyBorder="1" applyAlignment="1" applyProtection="1">
      <alignment vertical="center"/>
    </xf>
    <xf numFmtId="165" fontId="0" fillId="2" borderId="22" xfId="0" applyNumberFormat="1" applyFill="1" applyBorder="1" applyAlignment="1" applyProtection="1">
      <alignment vertical="center"/>
    </xf>
    <xf numFmtId="165" fontId="0" fillId="2" borderId="24" xfId="0" applyNumberFormat="1" applyFill="1" applyBorder="1" applyAlignment="1" applyProtection="1">
      <alignment vertical="center"/>
    </xf>
    <xf numFmtId="165" fontId="0" fillId="6" borderId="19" xfId="0" applyNumberFormat="1" applyFill="1" applyBorder="1" applyAlignment="1" applyProtection="1">
      <alignment vertical="center"/>
    </xf>
    <xf numFmtId="0" fontId="0" fillId="6" borderId="21" xfId="0" applyFill="1" applyBorder="1" applyAlignment="1" applyProtection="1">
      <alignment vertical="center"/>
    </xf>
    <xf numFmtId="165" fontId="0" fillId="6" borderId="22" xfId="0" applyNumberFormat="1" applyFill="1" applyBorder="1" applyAlignment="1" applyProtection="1">
      <alignment vertical="center"/>
    </xf>
    <xf numFmtId="0" fontId="0" fillId="6" borderId="23" xfId="0" applyFill="1" applyBorder="1" applyAlignment="1" applyProtection="1">
      <alignment vertical="center"/>
    </xf>
    <xf numFmtId="165" fontId="0" fillId="6" borderId="24" xfId="0" applyNumberFormat="1" applyFill="1" applyBorder="1" applyAlignment="1" applyProtection="1">
      <alignment vertical="center"/>
    </xf>
    <xf numFmtId="0" fontId="0" fillId="6" borderId="26" xfId="0" applyFill="1" applyBorder="1" applyAlignment="1" applyProtection="1">
      <alignment vertical="center"/>
    </xf>
    <xf numFmtId="165" fontId="0" fillId="7" borderId="19" xfId="0" applyNumberFormat="1" applyFill="1" applyBorder="1" applyAlignment="1" applyProtection="1">
      <alignment vertical="center"/>
    </xf>
    <xf numFmtId="165" fontId="0" fillId="7" borderId="22" xfId="0" applyNumberFormat="1" applyFill="1" applyBorder="1" applyAlignment="1" applyProtection="1">
      <alignment vertical="center"/>
    </xf>
    <xf numFmtId="165" fontId="0" fillId="7" borderId="24" xfId="0" applyNumberFormat="1" applyFill="1" applyBorder="1" applyAlignment="1" applyProtection="1">
      <alignment vertical="center"/>
    </xf>
    <xf numFmtId="0" fontId="6" fillId="3" borderId="48" xfId="0" applyFont="1" applyFill="1" applyBorder="1" applyAlignment="1" applyProtection="1">
      <alignment vertical="center"/>
    </xf>
    <xf numFmtId="0" fontId="6" fillId="3" borderId="59" xfId="0" applyFont="1" applyFill="1" applyBorder="1" applyAlignment="1" applyProtection="1">
      <alignment vertical="center"/>
    </xf>
    <xf numFmtId="165" fontId="0" fillId="3" borderId="6" xfId="0" applyNumberFormat="1" applyFill="1" applyBorder="1" applyAlignment="1" applyProtection="1">
      <alignment vertical="center"/>
    </xf>
    <xf numFmtId="165" fontId="0" fillId="3" borderId="8" xfId="0" applyNumberFormat="1" applyFill="1" applyBorder="1" applyAlignment="1" applyProtection="1">
      <alignment vertical="center"/>
    </xf>
    <xf numFmtId="44" fontId="0" fillId="3" borderId="19" xfId="2" applyFont="1" applyFill="1" applyBorder="1" applyAlignment="1" applyProtection="1">
      <alignment vertical="center"/>
    </xf>
    <xf numFmtId="166" fontId="0" fillId="3" borderId="8" xfId="1" applyNumberFormat="1" applyFont="1" applyFill="1" applyBorder="1" applyAlignment="1" applyProtection="1">
      <alignment vertical="center"/>
    </xf>
    <xf numFmtId="44" fontId="0" fillId="3" borderId="22" xfId="2" applyFont="1" applyFill="1" applyBorder="1" applyAlignment="1" applyProtection="1">
      <alignment vertical="center"/>
    </xf>
    <xf numFmtId="166" fontId="0" fillId="3" borderId="10" xfId="1" applyNumberFormat="1" applyFont="1" applyFill="1" applyBorder="1" applyAlignment="1" applyProtection="1">
      <alignment vertical="center"/>
    </xf>
    <xf numFmtId="44" fontId="0" fillId="3" borderId="24" xfId="2" applyFont="1" applyFill="1" applyBorder="1" applyAlignment="1" applyProtection="1">
      <alignment vertical="center"/>
    </xf>
    <xf numFmtId="166" fontId="0" fillId="3" borderId="13" xfId="1" applyNumberFormat="1" applyFont="1" applyFill="1" applyBorder="1" applyAlignment="1" applyProtection="1">
      <alignment vertical="center"/>
    </xf>
    <xf numFmtId="44" fontId="0" fillId="3" borderId="62" xfId="2" applyFont="1" applyFill="1" applyBorder="1" applyAlignment="1" applyProtection="1">
      <alignment vertical="center"/>
    </xf>
    <xf numFmtId="44" fontId="4" fillId="3" borderId="51" xfId="2" applyFont="1" applyFill="1" applyBorder="1" applyAlignment="1" applyProtection="1">
      <alignment vertical="center"/>
    </xf>
    <xf numFmtId="166" fontId="0" fillId="3" borderId="42" xfId="1" applyNumberFormat="1" applyFont="1" applyFill="1" applyBorder="1" applyAlignment="1" applyProtection="1">
      <alignment vertical="center"/>
    </xf>
    <xf numFmtId="165" fontId="0" fillId="3" borderId="63" xfId="2" applyNumberFormat="1" applyFont="1" applyFill="1" applyBorder="1" applyAlignment="1" applyProtection="1">
      <alignment vertical="center"/>
    </xf>
    <xf numFmtId="166" fontId="0" fillId="3" borderId="54" xfId="1" applyNumberFormat="1" applyFont="1" applyFill="1" applyBorder="1" applyAlignment="1" applyProtection="1">
      <alignment vertical="center"/>
    </xf>
    <xf numFmtId="0" fontId="0" fillId="0" borderId="43" xfId="0" applyBorder="1" applyAlignment="1" applyProtection="1">
      <alignment horizontal="right" vertical="center"/>
    </xf>
    <xf numFmtId="0" fontId="0" fillId="0" borderId="14" xfId="0" applyFill="1" applyBorder="1" applyAlignment="1" applyProtection="1">
      <alignment horizontal="right" vertical="center"/>
    </xf>
    <xf numFmtId="0" fontId="0" fillId="0" borderId="44" xfId="0" applyFill="1" applyBorder="1" applyAlignment="1" applyProtection="1">
      <alignment horizontal="right" vertical="center"/>
    </xf>
    <xf numFmtId="0" fontId="0" fillId="0" borderId="57" xfId="0" applyBorder="1" applyAlignment="1" applyProtection="1">
      <alignment horizontal="right" vertical="center"/>
    </xf>
    <xf numFmtId="0" fontId="5" fillId="0" borderId="60" xfId="0" applyFont="1" applyBorder="1" applyAlignment="1" applyProtection="1">
      <alignment horizontal="right" vertical="center"/>
    </xf>
    <xf numFmtId="166" fontId="0" fillId="3" borderId="22" xfId="1" applyNumberFormat="1" applyFont="1" applyFill="1" applyBorder="1" applyAlignment="1" applyProtection="1">
      <alignment vertical="center"/>
    </xf>
    <xf numFmtId="166" fontId="0" fillId="3" borderId="23" xfId="1" applyNumberFormat="1" applyFont="1" applyFill="1" applyBorder="1" applyAlignment="1" applyProtection="1">
      <alignment horizontal="center" vertical="center"/>
    </xf>
    <xf numFmtId="166" fontId="0" fillId="3" borderId="26" xfId="1" applyNumberFormat="1" applyFont="1" applyFill="1" applyBorder="1" applyAlignment="1" applyProtection="1">
      <alignment horizontal="center" vertical="center"/>
    </xf>
    <xf numFmtId="43" fontId="0" fillId="3" borderId="51" xfId="1" applyNumberFormat="1" applyFont="1" applyFill="1" applyBorder="1" applyAlignment="1" applyProtection="1">
      <alignment vertical="center"/>
    </xf>
    <xf numFmtId="166" fontId="0" fillId="3" borderId="47" xfId="1" applyNumberFormat="1" applyFont="1" applyFill="1" applyBorder="1" applyAlignment="1" applyProtection="1">
      <alignment horizontal="center" vertical="center"/>
    </xf>
    <xf numFmtId="165" fontId="0" fillId="3" borderId="48" xfId="2" applyNumberFormat="1" applyFont="1" applyFill="1" applyBorder="1" applyAlignment="1" applyProtection="1">
      <alignment vertical="center"/>
    </xf>
    <xf numFmtId="166" fontId="0" fillId="3" borderId="50" xfId="1" applyNumberFormat="1" applyFont="1" applyFill="1" applyBorder="1" applyAlignment="1" applyProtection="1">
      <alignment horizontal="center" vertical="center"/>
    </xf>
    <xf numFmtId="166" fontId="0" fillId="3" borderId="21" xfId="1" applyNumberFormat="1" applyFont="1" applyFill="1" applyBorder="1" applyAlignment="1" applyProtection="1">
      <alignment horizontal="center" vertical="center"/>
    </xf>
    <xf numFmtId="44" fontId="0" fillId="10" borderId="24" xfId="2" applyNumberFormat="1" applyFont="1" applyFill="1" applyBorder="1" applyAlignment="1" applyProtection="1">
      <alignment vertical="center"/>
    </xf>
    <xf numFmtId="44" fontId="0" fillId="10" borderId="26" xfId="2" applyNumberFormat="1" applyFont="1" applyFill="1" applyBorder="1" applyAlignment="1" applyProtection="1">
      <alignment horizontal="center" vertical="center"/>
    </xf>
    <xf numFmtId="44" fontId="0" fillId="10" borderId="48" xfId="2" applyNumberFormat="1" applyFont="1" applyFill="1" applyBorder="1" applyAlignment="1" applyProtection="1">
      <alignment vertical="center"/>
    </xf>
    <xf numFmtId="44" fontId="0" fillId="10" borderId="50" xfId="2" applyNumberFormat="1" applyFont="1" applyFill="1" applyBorder="1" applyAlignment="1" applyProtection="1">
      <alignment horizontal="center" vertical="center"/>
    </xf>
    <xf numFmtId="44" fontId="0" fillId="5" borderId="24" xfId="2" applyNumberFormat="1" applyFont="1" applyFill="1" applyBorder="1" applyAlignment="1" applyProtection="1">
      <alignment vertical="center"/>
    </xf>
    <xf numFmtId="44" fontId="0" fillId="5" borderId="26" xfId="2" applyNumberFormat="1" applyFont="1" applyFill="1" applyBorder="1" applyAlignment="1" applyProtection="1">
      <alignment horizontal="center" vertical="center"/>
    </xf>
    <xf numFmtId="44" fontId="0" fillId="5" borderId="48" xfId="2" applyNumberFormat="1" applyFont="1" applyFill="1" applyBorder="1" applyAlignment="1" applyProtection="1">
      <alignment vertical="center"/>
    </xf>
    <xf numFmtId="44" fontId="0" fillId="5" borderId="50" xfId="2" applyNumberFormat="1" applyFont="1" applyFill="1" applyBorder="1" applyAlignment="1" applyProtection="1">
      <alignment horizontal="center" vertical="center"/>
    </xf>
    <xf numFmtId="44" fontId="0" fillId="2" borderId="24" xfId="2" applyNumberFormat="1" applyFont="1" applyFill="1" applyBorder="1" applyAlignment="1" applyProtection="1">
      <alignment vertical="center"/>
    </xf>
    <xf numFmtId="44" fontId="0" fillId="2" borderId="26" xfId="2" applyNumberFormat="1" applyFont="1" applyFill="1" applyBorder="1" applyAlignment="1" applyProtection="1">
      <alignment horizontal="center" vertical="center"/>
    </xf>
    <xf numFmtId="44" fontId="0" fillId="2" borderId="48" xfId="2" applyNumberFormat="1" applyFont="1" applyFill="1" applyBorder="1" applyAlignment="1" applyProtection="1">
      <alignment vertical="center"/>
    </xf>
    <xf numFmtId="44" fontId="0" fillId="2" borderId="50" xfId="2" applyNumberFormat="1" applyFont="1" applyFill="1" applyBorder="1" applyAlignment="1" applyProtection="1">
      <alignment horizontal="center" vertical="center"/>
    </xf>
    <xf numFmtId="44" fontId="0" fillId="6" borderId="24" xfId="2" applyNumberFormat="1" applyFont="1" applyFill="1" applyBorder="1" applyAlignment="1" applyProtection="1">
      <alignment vertical="center"/>
    </xf>
    <xf numFmtId="44" fontId="0" fillId="6" borderId="26" xfId="2" applyNumberFormat="1" applyFont="1" applyFill="1" applyBorder="1" applyAlignment="1" applyProtection="1">
      <alignment horizontal="center" vertical="center"/>
    </xf>
    <xf numFmtId="44" fontId="0" fillId="6" borderId="48" xfId="2" applyNumberFormat="1" applyFont="1" applyFill="1" applyBorder="1" applyAlignment="1" applyProtection="1">
      <alignment vertical="center"/>
    </xf>
    <xf numFmtId="44" fontId="0" fillId="6" borderId="50" xfId="2" applyNumberFormat="1" applyFont="1" applyFill="1" applyBorder="1" applyAlignment="1" applyProtection="1">
      <alignment horizontal="center" vertical="center"/>
    </xf>
    <xf numFmtId="44" fontId="0" fillId="7" borderId="24" xfId="2" applyNumberFormat="1" applyFont="1" applyFill="1" applyBorder="1" applyAlignment="1" applyProtection="1">
      <alignment vertical="center"/>
    </xf>
    <xf numFmtId="44" fontId="0" fillId="7" borderId="48" xfId="2" applyNumberFormat="1" applyFont="1" applyFill="1" applyBorder="1" applyAlignment="1" applyProtection="1">
      <alignment vertical="center"/>
    </xf>
    <xf numFmtId="165" fontId="0" fillId="10" borderId="19" xfId="2" applyNumberFormat="1" applyFont="1" applyFill="1" applyBorder="1" applyAlignment="1" applyProtection="1">
      <alignment vertical="center"/>
    </xf>
    <xf numFmtId="165" fontId="0" fillId="10" borderId="21" xfId="2" applyNumberFormat="1" applyFont="1" applyFill="1" applyBorder="1" applyAlignment="1" applyProtection="1">
      <alignment vertical="center"/>
    </xf>
    <xf numFmtId="165" fontId="0" fillId="5" borderId="19" xfId="2" applyNumberFormat="1" applyFont="1" applyFill="1" applyBorder="1" applyAlignment="1" applyProtection="1">
      <alignment vertical="center"/>
    </xf>
    <xf numFmtId="165" fontId="0" fillId="5" borderId="21" xfId="2" applyNumberFormat="1" applyFont="1" applyFill="1" applyBorder="1" applyAlignment="1" applyProtection="1">
      <alignment vertical="center"/>
    </xf>
    <xf numFmtId="44" fontId="0" fillId="5" borderId="26" xfId="2" applyNumberFormat="1" applyFont="1" applyFill="1" applyBorder="1" applyAlignment="1" applyProtection="1">
      <alignment vertical="center"/>
    </xf>
    <xf numFmtId="165" fontId="0" fillId="2" borderId="19" xfId="2" applyNumberFormat="1" applyFont="1" applyFill="1" applyBorder="1" applyAlignment="1" applyProtection="1">
      <alignment vertical="center"/>
    </xf>
    <xf numFmtId="165" fontId="0" fillId="2" borderId="21" xfId="2" applyNumberFormat="1" applyFont="1" applyFill="1" applyBorder="1" applyAlignment="1" applyProtection="1">
      <alignment vertical="center"/>
    </xf>
    <xf numFmtId="44" fontId="0" fillId="2" borderId="26" xfId="2" applyNumberFormat="1" applyFont="1" applyFill="1" applyBorder="1" applyAlignment="1" applyProtection="1">
      <alignment vertical="center"/>
    </xf>
    <xf numFmtId="165" fontId="0" fillId="6" borderId="19" xfId="2" applyNumberFormat="1" applyFont="1" applyFill="1" applyBorder="1" applyAlignment="1" applyProtection="1">
      <alignment vertical="center"/>
    </xf>
    <xf numFmtId="165" fontId="0" fillId="6" borderId="21" xfId="2" applyNumberFormat="1" applyFont="1" applyFill="1" applyBorder="1" applyAlignment="1" applyProtection="1">
      <alignment vertical="center"/>
    </xf>
    <xf numFmtId="44" fontId="0" fillId="6" borderId="26" xfId="2" applyNumberFormat="1" applyFont="1" applyFill="1" applyBorder="1" applyAlignment="1" applyProtection="1">
      <alignment vertical="center"/>
    </xf>
    <xf numFmtId="165" fontId="0" fillId="7" borderId="19" xfId="2" applyNumberFormat="1" applyFont="1" applyFill="1" applyBorder="1" applyAlignment="1" applyProtection="1">
      <alignment vertical="center"/>
    </xf>
    <xf numFmtId="44" fontId="3" fillId="8" borderId="5" xfId="2" applyNumberFormat="1" applyFont="1" applyFill="1" applyBorder="1" applyAlignment="1" applyProtection="1">
      <alignment horizontal="center" vertical="center"/>
      <protection locked="0"/>
    </xf>
    <xf numFmtId="44" fontId="3" fillId="8" borderId="15" xfId="2" applyNumberFormat="1" applyFont="1" applyFill="1" applyBorder="1" applyAlignment="1" applyProtection="1">
      <alignment horizontal="center" vertical="center"/>
      <protection locked="0"/>
    </xf>
    <xf numFmtId="44" fontId="3" fillId="8" borderId="46" xfId="2" applyNumberFormat="1" applyFont="1" applyFill="1" applyBorder="1" applyAlignment="1" applyProtection="1">
      <alignment horizontal="center" vertical="center"/>
      <protection locked="0"/>
    </xf>
    <xf numFmtId="44" fontId="3" fillId="8" borderId="45" xfId="2" applyNumberFormat="1" applyFont="1" applyFill="1" applyBorder="1" applyAlignment="1" applyProtection="1">
      <alignment horizontal="center" vertical="center"/>
      <protection locked="0"/>
    </xf>
    <xf numFmtId="44" fontId="3" fillId="0" borderId="45" xfId="0" applyNumberFormat="1" applyFont="1" applyBorder="1" applyAlignment="1" applyProtection="1">
      <alignment horizontal="center" vertical="center"/>
    </xf>
    <xf numFmtId="44" fontId="3" fillId="8" borderId="45" xfId="2" applyNumberFormat="1" applyFont="1" applyFill="1" applyBorder="1" applyAlignment="1" applyProtection="1">
      <alignment vertical="center"/>
      <protection locked="0"/>
    </xf>
    <xf numFmtId="44" fontId="3" fillId="8" borderId="15" xfId="2" applyNumberFormat="1" applyFont="1" applyFill="1" applyBorder="1" applyAlignment="1" applyProtection="1">
      <alignment vertical="center"/>
      <protection locked="0"/>
    </xf>
    <xf numFmtId="44" fontId="3" fillId="8" borderId="3" xfId="2" applyNumberFormat="1" applyFont="1" applyFill="1" applyBorder="1" applyAlignment="1" applyProtection="1">
      <alignment vertical="center"/>
      <protection locked="0"/>
    </xf>
    <xf numFmtId="0" fontId="3" fillId="0" borderId="45" xfId="0" applyFont="1" applyBorder="1" applyAlignment="1" applyProtection="1">
      <alignment horizontal="center" vertical="center"/>
    </xf>
    <xf numFmtId="44" fontId="3" fillId="8" borderId="53" xfId="2" applyNumberFormat="1" applyFont="1" applyFill="1" applyBorder="1" applyAlignment="1" applyProtection="1">
      <alignment vertical="center"/>
      <protection locked="0"/>
    </xf>
    <xf numFmtId="44" fontId="3" fillId="8" borderId="46" xfId="2" applyNumberFormat="1" applyFont="1" applyFill="1" applyBorder="1" applyAlignment="1" applyProtection="1">
      <alignment vertical="center"/>
      <protection locked="0"/>
    </xf>
    <xf numFmtId="44" fontId="3" fillId="0" borderId="15" xfId="0" applyNumberFormat="1" applyFont="1" applyBorder="1" applyAlignment="1" applyProtection="1">
      <alignment horizontal="center" vertical="center"/>
    </xf>
    <xf numFmtId="44" fontId="3" fillId="0" borderId="46" xfId="0" applyNumberFormat="1" applyFont="1" applyBorder="1" applyAlignment="1" applyProtection="1">
      <alignment horizontal="center" vertical="center"/>
    </xf>
    <xf numFmtId="44" fontId="3" fillId="8" borderId="5" xfId="2" applyNumberFormat="1" applyFont="1" applyFill="1" applyBorder="1" applyAlignment="1" applyProtection="1">
      <alignment vertical="center"/>
      <protection locked="0"/>
    </xf>
    <xf numFmtId="165" fontId="3" fillId="8" borderId="19" xfId="2" applyNumberFormat="1" applyFont="1" applyFill="1" applyBorder="1" applyAlignment="1" applyProtection="1">
      <alignment vertical="center"/>
      <protection locked="0"/>
    </xf>
    <xf numFmtId="165" fontId="3" fillId="8" borderId="22" xfId="2" applyNumberFormat="1" applyFont="1" applyFill="1" applyBorder="1" applyAlignment="1" applyProtection="1">
      <alignment vertical="center"/>
      <protection locked="0"/>
    </xf>
    <xf numFmtId="165" fontId="3" fillId="8" borderId="24" xfId="2" applyNumberFormat="1" applyFont="1" applyFill="1" applyBorder="1" applyAlignment="1" applyProtection="1">
      <alignment vertical="center"/>
      <protection locked="0"/>
    </xf>
    <xf numFmtId="165" fontId="3" fillId="8" borderId="62" xfId="2" applyNumberFormat="1" applyFont="1" applyFill="1" applyBorder="1" applyAlignment="1" applyProtection="1">
      <alignment vertical="center"/>
      <protection locked="0"/>
    </xf>
    <xf numFmtId="0" fontId="3" fillId="0" borderId="4"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2" xfId="0" applyFont="1" applyBorder="1" applyAlignment="1" applyProtection="1">
      <alignment horizontal="center" vertical="center"/>
    </xf>
    <xf numFmtId="0" fontId="0" fillId="0" borderId="16" xfId="0" applyBorder="1" applyAlignment="1" applyProtection="1">
      <alignment horizontal="left" vertical="center"/>
    </xf>
    <xf numFmtId="0" fontId="2" fillId="0" borderId="46" xfId="0" applyFont="1" applyBorder="1" applyAlignment="1" applyProtection="1">
      <alignment horizontal="right" vertical="center"/>
    </xf>
    <xf numFmtId="0" fontId="0" fillId="3" borderId="19" xfId="0" applyFill="1" applyBorder="1" applyAlignment="1" applyProtection="1">
      <alignment vertical="center"/>
    </xf>
    <xf numFmtId="166" fontId="0" fillId="3" borderId="21" xfId="1" applyNumberFormat="1" applyFont="1" applyFill="1" applyBorder="1" applyAlignment="1" applyProtection="1">
      <alignment horizontal="right" vertical="center"/>
    </xf>
    <xf numFmtId="166" fontId="3" fillId="10" borderId="27" xfId="1" applyNumberFormat="1" applyFont="1" applyFill="1" applyBorder="1" applyAlignment="1" applyProtection="1">
      <alignment vertical="center"/>
    </xf>
    <xf numFmtId="166" fontId="10" fillId="10" borderId="24" xfId="1" applyNumberFormat="1" applyFont="1" applyFill="1" applyBorder="1" applyAlignment="1" applyProtection="1">
      <alignment vertical="center"/>
    </xf>
    <xf numFmtId="166" fontId="1" fillId="10" borderId="28" xfId="1" applyNumberFormat="1" applyFont="1" applyFill="1" applyBorder="1" applyAlignment="1" applyProtection="1">
      <alignment vertical="center"/>
    </xf>
    <xf numFmtId="166" fontId="3" fillId="10" borderId="32" xfId="1" applyNumberFormat="1" applyFont="1" applyFill="1" applyBorder="1" applyAlignment="1" applyProtection="1">
      <alignment vertical="center" wrapText="1"/>
    </xf>
    <xf numFmtId="166" fontId="0" fillId="5" borderId="29" xfId="1" applyNumberFormat="1" applyFont="1" applyFill="1" applyBorder="1" applyAlignment="1" applyProtection="1">
      <alignment vertical="center"/>
    </xf>
    <xf numFmtId="166" fontId="0" fillId="5" borderId="30" xfId="1" applyNumberFormat="1" applyFont="1" applyFill="1" applyBorder="1" applyAlignment="1" applyProtection="1">
      <alignment vertical="center"/>
    </xf>
    <xf numFmtId="166" fontId="18" fillId="5" borderId="24" xfId="1" applyNumberFormat="1" applyFont="1" applyFill="1" applyBorder="1" applyAlignment="1" applyProtection="1">
      <alignment vertical="center"/>
    </xf>
    <xf numFmtId="166" fontId="4" fillId="5" borderId="33" xfId="1" applyNumberFormat="1" applyFont="1" applyFill="1" applyBorder="1" applyAlignment="1" applyProtection="1">
      <alignment vertical="center" wrapText="1"/>
    </xf>
    <xf numFmtId="166" fontId="0" fillId="2" borderId="29" xfId="1" applyNumberFormat="1" applyFont="1" applyFill="1" applyBorder="1" applyAlignment="1" applyProtection="1">
      <alignment vertical="center"/>
    </xf>
    <xf numFmtId="166" fontId="0" fillId="2" borderId="30" xfId="1" applyNumberFormat="1" applyFont="1" applyFill="1" applyBorder="1" applyAlignment="1" applyProtection="1">
      <alignment vertical="center"/>
    </xf>
    <xf numFmtId="166" fontId="18" fillId="2" borderId="24" xfId="1" applyNumberFormat="1" applyFont="1" applyFill="1" applyBorder="1" applyAlignment="1" applyProtection="1">
      <alignment vertical="center"/>
    </xf>
    <xf numFmtId="166" fontId="4" fillId="2" borderId="33" xfId="1" applyNumberFormat="1" applyFont="1" applyFill="1" applyBorder="1" applyAlignment="1" applyProtection="1">
      <alignment vertical="center" wrapText="1"/>
    </xf>
    <xf numFmtId="166" fontId="0" fillId="6" borderId="29" xfId="1" applyNumberFormat="1" applyFont="1" applyFill="1" applyBorder="1" applyAlignment="1" applyProtection="1">
      <alignment vertical="center"/>
    </xf>
    <xf numFmtId="166" fontId="0" fillId="6" borderId="30" xfId="1" applyNumberFormat="1" applyFont="1" applyFill="1" applyBorder="1" applyAlignment="1" applyProtection="1">
      <alignment vertical="center"/>
    </xf>
    <xf numFmtId="166" fontId="18" fillId="6" borderId="24" xfId="1" applyNumberFormat="1" applyFont="1" applyFill="1" applyBorder="1" applyAlignment="1" applyProtection="1">
      <alignment vertical="center"/>
    </xf>
    <xf numFmtId="166" fontId="4" fillId="6" borderId="33" xfId="1" applyNumberFormat="1" applyFont="1" applyFill="1" applyBorder="1" applyAlignment="1" applyProtection="1">
      <alignment vertical="center" wrapText="1"/>
    </xf>
    <xf numFmtId="166" fontId="0" fillId="7" borderId="29" xfId="1" applyNumberFormat="1" applyFont="1" applyFill="1" applyBorder="1" applyAlignment="1" applyProtection="1">
      <alignment vertical="center"/>
    </xf>
    <xf numFmtId="166" fontId="18" fillId="7" borderId="24" xfId="1" applyNumberFormat="1" applyFont="1" applyFill="1" applyBorder="1" applyAlignment="1" applyProtection="1">
      <alignment vertical="center"/>
    </xf>
    <xf numFmtId="166" fontId="22" fillId="10" borderId="6" xfId="1" applyNumberFormat="1" applyFont="1" applyFill="1" applyBorder="1" applyAlignment="1" applyProtection="1">
      <alignment vertical="center"/>
    </xf>
    <xf numFmtId="166" fontId="25" fillId="10" borderId="8" xfId="1" applyNumberFormat="1" applyFont="1" applyFill="1" applyBorder="1" applyAlignment="1" applyProtection="1">
      <alignment vertical="center"/>
    </xf>
    <xf numFmtId="166" fontId="3" fillId="10" borderId="19" xfId="1" applyNumberFormat="1" applyFont="1" applyFill="1" applyBorder="1" applyAlignment="1" applyProtection="1">
      <alignment horizontal="right" vertical="center"/>
    </xf>
    <xf numFmtId="166" fontId="3" fillId="10" borderId="21" xfId="1" applyNumberFormat="1" applyFont="1" applyFill="1" applyBorder="1" applyAlignment="1" applyProtection="1">
      <alignment vertical="center"/>
    </xf>
    <xf numFmtId="166" fontId="3" fillId="10" borderId="22" xfId="1" applyNumberFormat="1" applyFont="1" applyFill="1" applyBorder="1" applyAlignment="1" applyProtection="1">
      <alignment horizontal="right" vertical="center"/>
    </xf>
    <xf numFmtId="166" fontId="3" fillId="10" borderId="23" xfId="1" applyNumberFormat="1" applyFont="1" applyFill="1" applyBorder="1" applyAlignment="1" applyProtection="1">
      <alignment vertical="center"/>
    </xf>
    <xf numFmtId="166" fontId="3" fillId="10" borderId="24" xfId="1" applyNumberFormat="1" applyFont="1" applyFill="1" applyBorder="1" applyAlignment="1" applyProtection="1">
      <alignment horizontal="right" vertical="center"/>
    </xf>
    <xf numFmtId="166" fontId="3" fillId="10" borderId="26" xfId="1" applyNumberFormat="1" applyFont="1" applyFill="1" applyBorder="1" applyAlignment="1" applyProtection="1">
      <alignment vertical="center"/>
    </xf>
    <xf numFmtId="166" fontId="5" fillId="5" borderId="6" xfId="1" applyNumberFormat="1" applyFont="1" applyFill="1" applyBorder="1" applyAlignment="1" applyProtection="1">
      <alignment vertical="center"/>
    </xf>
    <xf numFmtId="166" fontId="5" fillId="5" borderId="8" xfId="1" applyNumberFormat="1" applyFont="1" applyFill="1" applyBorder="1" applyAlignment="1" applyProtection="1">
      <alignment vertical="center"/>
    </xf>
    <xf numFmtId="166" fontId="3" fillId="5" borderId="19" xfId="1" applyNumberFormat="1" applyFont="1" applyFill="1" applyBorder="1" applyAlignment="1" applyProtection="1">
      <alignment horizontal="right" vertical="center"/>
    </xf>
    <xf numFmtId="166" fontId="3" fillId="5" borderId="21" xfId="1" applyNumberFormat="1" applyFont="1" applyFill="1" applyBorder="1" applyAlignment="1" applyProtection="1">
      <alignment vertical="center"/>
    </xf>
    <xf numFmtId="166" fontId="3" fillId="5" borderId="22" xfId="1" applyNumberFormat="1" applyFont="1" applyFill="1" applyBorder="1" applyAlignment="1" applyProtection="1">
      <alignment horizontal="right" vertical="center"/>
    </xf>
    <xf numFmtId="166" fontId="3" fillId="5" borderId="23" xfId="1" applyNumberFormat="1" applyFont="1" applyFill="1" applyBorder="1" applyAlignment="1" applyProtection="1">
      <alignment vertical="center"/>
    </xf>
    <xf numFmtId="166" fontId="3" fillId="5" borderId="24" xfId="1" applyNumberFormat="1" applyFont="1" applyFill="1" applyBorder="1" applyAlignment="1" applyProtection="1">
      <alignment horizontal="right" vertical="center"/>
    </xf>
    <xf numFmtId="166" fontId="3" fillId="5" borderId="26" xfId="1" applyNumberFormat="1" applyFont="1" applyFill="1" applyBorder="1" applyAlignment="1" applyProtection="1">
      <alignment vertical="center"/>
    </xf>
    <xf numFmtId="166" fontId="5" fillId="2" borderId="6" xfId="1" applyNumberFormat="1" applyFont="1" applyFill="1" applyBorder="1" applyAlignment="1" applyProtection="1">
      <alignment vertical="center"/>
    </xf>
    <xf numFmtId="166" fontId="5" fillId="2" borderId="8" xfId="1" applyNumberFormat="1" applyFont="1" applyFill="1" applyBorder="1" applyAlignment="1" applyProtection="1">
      <alignment vertical="center"/>
    </xf>
    <xf numFmtId="166" fontId="3" fillId="2" borderId="19" xfId="1" applyNumberFormat="1" applyFont="1" applyFill="1" applyBorder="1" applyAlignment="1" applyProtection="1">
      <alignment horizontal="right" vertical="center"/>
    </xf>
    <xf numFmtId="166" fontId="3" fillId="2" borderId="21" xfId="1" applyNumberFormat="1" applyFont="1" applyFill="1" applyBorder="1" applyAlignment="1" applyProtection="1">
      <alignment vertical="center"/>
    </xf>
    <xf numFmtId="166" fontId="3" fillId="2" borderId="22" xfId="1" applyNumberFormat="1" applyFont="1" applyFill="1" applyBorder="1" applyAlignment="1" applyProtection="1">
      <alignment horizontal="right" vertical="center"/>
    </xf>
    <xf numFmtId="166" fontId="3" fillId="2" borderId="23" xfId="1" applyNumberFormat="1" applyFont="1" applyFill="1" applyBorder="1" applyAlignment="1" applyProtection="1">
      <alignment vertical="center"/>
    </xf>
    <xf numFmtId="166" fontId="3" fillId="2" borderId="24" xfId="1" applyNumberFormat="1" applyFont="1" applyFill="1" applyBorder="1" applyAlignment="1" applyProtection="1">
      <alignment horizontal="right" vertical="center"/>
    </xf>
    <xf numFmtId="166" fontId="3" fillId="2" borderId="26" xfId="1" applyNumberFormat="1" applyFont="1" applyFill="1" applyBorder="1" applyAlignment="1" applyProtection="1">
      <alignment vertical="center"/>
    </xf>
    <xf numFmtId="166" fontId="5" fillId="6" borderId="6" xfId="1" applyNumberFormat="1" applyFont="1" applyFill="1" applyBorder="1" applyAlignment="1" applyProtection="1">
      <alignment vertical="center"/>
    </xf>
    <xf numFmtId="166" fontId="5" fillId="6" borderId="8" xfId="1" applyNumberFormat="1" applyFont="1" applyFill="1" applyBorder="1" applyAlignment="1" applyProtection="1">
      <alignment vertical="center"/>
    </xf>
    <xf numFmtId="166" fontId="3" fillId="6" borderId="19" xfId="1" applyNumberFormat="1" applyFont="1" applyFill="1" applyBorder="1" applyAlignment="1" applyProtection="1">
      <alignment horizontal="right" vertical="center"/>
    </xf>
    <xf numFmtId="166" fontId="3" fillId="6" borderId="21" xfId="1" applyNumberFormat="1" applyFont="1" applyFill="1" applyBorder="1" applyAlignment="1" applyProtection="1">
      <alignment vertical="center"/>
    </xf>
    <xf numFmtId="166" fontId="3" fillId="6" borderId="22" xfId="1" applyNumberFormat="1" applyFont="1" applyFill="1" applyBorder="1" applyAlignment="1" applyProtection="1">
      <alignment horizontal="right" vertical="center"/>
    </xf>
    <xf numFmtId="166" fontId="3" fillId="6" borderId="23" xfId="1" applyNumberFormat="1" applyFont="1" applyFill="1" applyBorder="1" applyAlignment="1" applyProtection="1">
      <alignment vertical="center"/>
    </xf>
    <xf numFmtId="166" fontId="3" fillId="6" borderId="24" xfId="1" applyNumberFormat="1" applyFont="1" applyFill="1" applyBorder="1" applyAlignment="1" applyProtection="1">
      <alignment horizontal="right" vertical="center"/>
    </xf>
    <xf numFmtId="166" fontId="3" fillId="6" borderId="26" xfId="1" applyNumberFormat="1" applyFont="1" applyFill="1" applyBorder="1" applyAlignment="1" applyProtection="1">
      <alignment vertical="center"/>
    </xf>
    <xf numFmtId="166" fontId="5" fillId="7" borderId="6" xfId="1" applyNumberFormat="1" applyFont="1" applyFill="1" applyBorder="1" applyAlignment="1" applyProtection="1">
      <alignment vertical="center"/>
    </xf>
    <xf numFmtId="166" fontId="5" fillId="7" borderId="8" xfId="1" applyNumberFormat="1" applyFont="1" applyFill="1" applyBorder="1" applyAlignment="1" applyProtection="1">
      <alignment vertical="center"/>
    </xf>
    <xf numFmtId="166" fontId="3" fillId="7" borderId="19" xfId="1" applyNumberFormat="1" applyFont="1" applyFill="1" applyBorder="1" applyAlignment="1" applyProtection="1">
      <alignment horizontal="right" vertical="center"/>
    </xf>
    <xf numFmtId="166" fontId="3" fillId="7" borderId="22" xfId="1" applyNumberFormat="1" applyFont="1" applyFill="1" applyBorder="1" applyAlignment="1" applyProtection="1">
      <alignment horizontal="right" vertical="center"/>
    </xf>
    <xf numFmtId="166" fontId="3" fillId="7" borderId="24" xfId="1" applyNumberFormat="1" applyFont="1" applyFill="1" applyBorder="1" applyAlignment="1" applyProtection="1">
      <alignment horizontal="right" vertical="center"/>
    </xf>
    <xf numFmtId="166" fontId="0" fillId="5" borderId="6" xfId="1" applyNumberFormat="1" applyFont="1" applyFill="1" applyBorder="1" applyAlignment="1" applyProtection="1">
      <alignment vertical="center"/>
    </xf>
    <xf numFmtId="166" fontId="0" fillId="5" borderId="11" xfId="1" applyNumberFormat="1" applyFont="1" applyFill="1" applyBorder="1" applyAlignment="1" applyProtection="1">
      <alignment vertical="center"/>
    </xf>
    <xf numFmtId="166" fontId="0" fillId="2" borderId="6" xfId="1" applyNumberFormat="1" applyFont="1" applyFill="1" applyBorder="1" applyAlignment="1" applyProtection="1">
      <alignment vertical="center"/>
    </xf>
    <xf numFmtId="166" fontId="0" fillId="2" borderId="11" xfId="1" applyNumberFormat="1" applyFont="1" applyFill="1" applyBorder="1" applyAlignment="1" applyProtection="1">
      <alignment vertical="center"/>
    </xf>
    <xf numFmtId="166" fontId="0" fillId="6" borderId="6" xfId="1" applyNumberFormat="1" applyFont="1" applyFill="1" applyBorder="1" applyAlignment="1" applyProtection="1">
      <alignment vertical="center"/>
    </xf>
    <xf numFmtId="166" fontId="0" fillId="6" borderId="11" xfId="1" applyNumberFormat="1" applyFont="1" applyFill="1" applyBorder="1" applyAlignment="1" applyProtection="1">
      <alignment vertical="center"/>
    </xf>
    <xf numFmtId="166" fontId="0" fillId="7" borderId="6" xfId="1" applyNumberFormat="1" applyFont="1" applyFill="1" applyBorder="1" applyAlignment="1" applyProtection="1">
      <alignment vertical="center"/>
    </xf>
    <xf numFmtId="166" fontId="0" fillId="7" borderId="11" xfId="1" applyNumberFormat="1" applyFont="1" applyFill="1" applyBorder="1" applyAlignment="1" applyProtection="1">
      <alignment vertical="center"/>
    </xf>
    <xf numFmtId="166" fontId="3" fillId="10" borderId="6" xfId="1" applyNumberFormat="1" applyFont="1" applyFill="1" applyBorder="1" applyAlignment="1" applyProtection="1">
      <alignment vertical="center"/>
    </xf>
    <xf numFmtId="166" fontId="3" fillId="10" borderId="11" xfId="1" applyNumberFormat="1" applyFont="1" applyFill="1" applyBorder="1" applyAlignment="1" applyProtection="1">
      <alignment vertical="center"/>
    </xf>
    <xf numFmtId="166" fontId="27" fillId="10" borderId="6" xfId="1" applyNumberFormat="1" applyFont="1" applyFill="1" applyBorder="1" applyAlignment="1" applyProtection="1">
      <alignment vertical="center"/>
    </xf>
    <xf numFmtId="171" fontId="27" fillId="10" borderId="9" xfId="3" applyNumberFormat="1" applyFont="1" applyFill="1" applyBorder="1" applyAlignment="1" applyProtection="1">
      <alignment vertical="center"/>
    </xf>
    <xf numFmtId="166" fontId="27" fillId="10" borderId="38" xfId="1" applyNumberFormat="1" applyFont="1" applyFill="1" applyBorder="1" applyAlignment="1" applyProtection="1">
      <alignment vertical="center"/>
    </xf>
    <xf numFmtId="166" fontId="27" fillId="10" borderId="9" xfId="1" applyNumberFormat="1" applyFont="1" applyFill="1" applyBorder="1" applyAlignment="1" applyProtection="1">
      <alignment vertical="center"/>
    </xf>
    <xf numFmtId="166" fontId="3" fillId="10" borderId="37" xfId="1" applyNumberFormat="1" applyFont="1" applyFill="1" applyBorder="1" applyAlignment="1" applyProtection="1">
      <alignment vertical="center"/>
    </xf>
    <xf numFmtId="166" fontId="3" fillId="5" borderId="37" xfId="1" applyNumberFormat="1" applyFont="1" applyFill="1" applyBorder="1" applyAlignment="1" applyProtection="1">
      <alignment vertical="center"/>
    </xf>
    <xf numFmtId="166" fontId="3" fillId="2" borderId="37" xfId="1" applyNumberFormat="1" applyFont="1" applyFill="1" applyBorder="1" applyAlignment="1" applyProtection="1">
      <alignment vertical="center"/>
    </xf>
    <xf numFmtId="166" fontId="3" fillId="6" borderId="37" xfId="1" applyNumberFormat="1" applyFont="1" applyFill="1" applyBorder="1" applyAlignment="1" applyProtection="1">
      <alignment vertical="center"/>
    </xf>
    <xf numFmtId="166" fontId="3" fillId="7" borderId="37" xfId="1" applyNumberFormat="1" applyFont="1" applyFill="1" applyBorder="1" applyAlignment="1" applyProtection="1">
      <alignment vertical="center"/>
    </xf>
    <xf numFmtId="166" fontId="3" fillId="5" borderId="11" xfId="1" applyNumberFormat="1" applyFont="1" applyFill="1" applyBorder="1" applyAlignment="1" applyProtection="1">
      <alignment vertical="center"/>
    </xf>
    <xf numFmtId="166" fontId="3" fillId="2" borderId="11" xfId="1" applyNumberFormat="1" applyFont="1" applyFill="1" applyBorder="1" applyAlignment="1" applyProtection="1">
      <alignment vertical="center"/>
    </xf>
    <xf numFmtId="166" fontId="3" fillId="6" borderId="11" xfId="1" applyNumberFormat="1" applyFont="1" applyFill="1" applyBorder="1" applyAlignment="1" applyProtection="1">
      <alignment vertical="center"/>
    </xf>
    <xf numFmtId="166" fontId="3" fillId="7" borderId="11" xfId="1" applyNumberFormat="1" applyFont="1" applyFill="1" applyBorder="1" applyAlignment="1" applyProtection="1">
      <alignment vertical="center"/>
    </xf>
    <xf numFmtId="166" fontId="3" fillId="10" borderId="38" xfId="1" applyNumberFormat="1" applyFont="1" applyFill="1" applyBorder="1" applyAlignment="1" applyProtection="1">
      <alignment vertical="center"/>
    </xf>
    <xf numFmtId="2" fontId="3" fillId="10" borderId="38" xfId="0" applyNumberFormat="1" applyFont="1" applyFill="1" applyBorder="1" applyAlignment="1" applyProtection="1">
      <alignment vertical="center"/>
    </xf>
    <xf numFmtId="166" fontId="3" fillId="5" borderId="38" xfId="1" applyNumberFormat="1" applyFont="1" applyFill="1" applyBorder="1" applyAlignment="1" applyProtection="1">
      <alignment vertical="center"/>
    </xf>
    <xf numFmtId="2" fontId="0" fillId="5" borderId="38" xfId="0" applyNumberFormat="1" applyFill="1" applyBorder="1" applyAlignment="1" applyProtection="1">
      <alignment vertical="center"/>
    </xf>
    <xf numFmtId="166" fontId="3" fillId="5" borderId="9" xfId="1" applyNumberFormat="1" applyFont="1" applyFill="1" applyBorder="1" applyAlignment="1" applyProtection="1">
      <alignment vertical="center"/>
    </xf>
    <xf numFmtId="166" fontId="3" fillId="2" borderId="38" xfId="1" applyNumberFormat="1" applyFont="1" applyFill="1" applyBorder="1" applyAlignment="1" applyProtection="1">
      <alignment vertical="center"/>
    </xf>
    <xf numFmtId="2" fontId="0" fillId="2" borderId="38" xfId="0" applyNumberFormat="1" applyFill="1" applyBorder="1" applyAlignment="1" applyProtection="1">
      <alignment vertical="center"/>
    </xf>
    <xf numFmtId="166" fontId="3" fillId="2" borderId="9" xfId="1" applyNumberFormat="1" applyFont="1" applyFill="1" applyBorder="1" applyAlignment="1" applyProtection="1">
      <alignment vertical="center"/>
    </xf>
    <xf numFmtId="166" fontId="3" fillId="6" borderId="38" xfId="1" applyNumberFormat="1" applyFont="1" applyFill="1" applyBorder="1" applyAlignment="1" applyProtection="1">
      <alignment vertical="center"/>
    </xf>
    <xf numFmtId="2" fontId="0" fillId="6" borderId="38" xfId="0" applyNumberFormat="1" applyFill="1" applyBorder="1" applyAlignment="1" applyProtection="1">
      <alignment vertical="center"/>
    </xf>
    <xf numFmtId="166" fontId="3" fillId="6" borderId="9" xfId="1" applyNumberFormat="1" applyFont="1" applyFill="1" applyBorder="1" applyAlignment="1" applyProtection="1">
      <alignment vertical="center"/>
    </xf>
    <xf numFmtId="166" fontId="3" fillId="7" borderId="38" xfId="1" applyNumberFormat="1" applyFont="1" applyFill="1" applyBorder="1" applyAlignment="1" applyProtection="1">
      <alignment vertical="center"/>
    </xf>
    <xf numFmtId="2" fontId="3" fillId="8" borderId="29" xfId="0" applyNumberFormat="1" applyFont="1" applyFill="1" applyBorder="1" applyAlignment="1" applyProtection="1">
      <alignment vertical="center"/>
      <protection locked="0"/>
    </xf>
    <xf numFmtId="2" fontId="0" fillId="7" borderId="38" xfId="0" applyNumberFormat="1" applyFill="1" applyBorder="1" applyAlignment="1" applyProtection="1">
      <alignment vertical="center"/>
    </xf>
    <xf numFmtId="166" fontId="3" fillId="7" borderId="9" xfId="1" applyNumberFormat="1" applyFont="1" applyFill="1" applyBorder="1" applyAlignment="1" applyProtection="1">
      <alignment vertical="center"/>
    </xf>
    <xf numFmtId="0" fontId="13" fillId="0" borderId="12" xfId="0" applyFont="1" applyBorder="1" applyAlignment="1" applyProtection="1">
      <alignment vertical="center"/>
    </xf>
    <xf numFmtId="165" fontId="9" fillId="10" borderId="21" xfId="0" applyNumberFormat="1" applyFont="1" applyFill="1" applyBorder="1" applyAlignment="1" applyProtection="1">
      <alignment horizontal="center" vertical="center"/>
    </xf>
    <xf numFmtId="0" fontId="3" fillId="8" borderId="29" xfId="0" applyFont="1" applyFill="1" applyBorder="1" applyAlignment="1" applyProtection="1">
      <alignment vertical="center"/>
      <protection locked="0"/>
    </xf>
    <xf numFmtId="166" fontId="27" fillId="5" borderId="7" xfId="1" applyNumberFormat="1" applyFont="1" applyFill="1" applyBorder="1" applyAlignment="1" applyProtection="1">
      <alignment vertical="center"/>
    </xf>
    <xf numFmtId="171" fontId="27" fillId="5" borderId="0" xfId="3" applyNumberFormat="1" applyFont="1" applyFill="1" applyBorder="1" applyAlignment="1" applyProtection="1">
      <alignment vertical="center"/>
    </xf>
    <xf numFmtId="166" fontId="27" fillId="5" borderId="18" xfId="1" applyNumberFormat="1" applyFont="1" applyFill="1" applyBorder="1" applyAlignment="1" applyProtection="1">
      <alignment vertical="center"/>
    </xf>
    <xf numFmtId="166" fontId="27" fillId="5" borderId="0" xfId="1" applyNumberFormat="1" applyFont="1" applyFill="1" applyBorder="1" applyAlignment="1" applyProtection="1">
      <alignment vertical="center"/>
    </xf>
    <xf numFmtId="166" fontId="3" fillId="5" borderId="12" xfId="1" applyNumberFormat="1" applyFont="1" applyFill="1" applyBorder="1" applyAlignment="1" applyProtection="1">
      <alignment vertical="center"/>
    </xf>
    <xf numFmtId="166" fontId="27" fillId="10" borderId="1" xfId="1" applyNumberFormat="1" applyFont="1" applyFill="1" applyBorder="1" applyAlignment="1" applyProtection="1">
      <alignment vertical="center"/>
    </xf>
    <xf numFmtId="171" fontId="27" fillId="10" borderId="1" xfId="3" applyNumberFormat="1" applyFont="1" applyFill="1" applyBorder="1" applyAlignment="1" applyProtection="1">
      <alignment vertical="center"/>
    </xf>
    <xf numFmtId="166" fontId="3" fillId="10" borderId="1" xfId="0" applyNumberFormat="1" applyFont="1" applyFill="1" applyBorder="1" applyAlignment="1" applyProtection="1">
      <alignment vertical="center"/>
    </xf>
    <xf numFmtId="0" fontId="3" fillId="8" borderId="16" xfId="0" applyFont="1" applyFill="1" applyBorder="1" applyAlignment="1" applyProtection="1">
      <alignment vertical="center"/>
      <protection locked="0"/>
    </xf>
    <xf numFmtId="166" fontId="27" fillId="2" borderId="7" xfId="1" applyNumberFormat="1" applyFont="1" applyFill="1" applyBorder="1" applyAlignment="1" applyProtection="1">
      <alignment vertical="center"/>
    </xf>
    <xf numFmtId="171" fontId="27" fillId="2" borderId="0" xfId="3" applyNumberFormat="1" applyFont="1" applyFill="1" applyBorder="1" applyAlignment="1" applyProtection="1">
      <alignment vertical="center"/>
    </xf>
    <xf numFmtId="166" fontId="27" fillId="2" borderId="18" xfId="1" applyNumberFormat="1" applyFont="1" applyFill="1" applyBorder="1" applyAlignment="1" applyProtection="1">
      <alignment vertical="center"/>
    </xf>
    <xf numFmtId="166" fontId="27" fillId="2" borderId="0" xfId="1" applyNumberFormat="1" applyFont="1" applyFill="1" applyBorder="1" applyAlignment="1" applyProtection="1">
      <alignment vertical="center"/>
    </xf>
    <xf numFmtId="166" fontId="3" fillId="2" borderId="12" xfId="1" applyNumberFormat="1" applyFont="1" applyFill="1" applyBorder="1" applyAlignment="1" applyProtection="1">
      <alignment vertical="center"/>
    </xf>
    <xf numFmtId="166" fontId="27" fillId="5" borderId="1" xfId="1" applyNumberFormat="1" applyFont="1" applyFill="1" applyBorder="1" applyAlignment="1" applyProtection="1">
      <alignment vertical="center"/>
    </xf>
    <xf numFmtId="9" fontId="27" fillId="5" borderId="1" xfId="3" applyFont="1" applyFill="1" applyBorder="1" applyAlignment="1" applyProtection="1">
      <alignment vertical="center"/>
    </xf>
    <xf numFmtId="9" fontId="3" fillId="5" borderId="1" xfId="3" applyFont="1" applyFill="1" applyBorder="1" applyAlignment="1" applyProtection="1">
      <alignment vertical="center"/>
    </xf>
    <xf numFmtId="166" fontId="27" fillId="6" borderId="7" xfId="1" applyNumberFormat="1" applyFont="1" applyFill="1" applyBorder="1" applyAlignment="1" applyProtection="1">
      <alignment vertical="center"/>
    </xf>
    <xf numFmtId="171" fontId="27" fillId="6" borderId="0" xfId="3" applyNumberFormat="1" applyFont="1" applyFill="1" applyBorder="1" applyAlignment="1" applyProtection="1">
      <alignment vertical="center"/>
    </xf>
    <xf numFmtId="166" fontId="27" fillId="6" borderId="18" xfId="1" applyNumberFormat="1" applyFont="1" applyFill="1" applyBorder="1" applyAlignment="1" applyProtection="1">
      <alignment vertical="center"/>
    </xf>
    <xf numFmtId="166" fontId="27" fillId="6" borderId="0" xfId="1" applyNumberFormat="1" applyFont="1" applyFill="1" applyBorder="1" applyAlignment="1" applyProtection="1">
      <alignment vertical="center"/>
    </xf>
    <xf numFmtId="166" fontId="3" fillId="6" borderId="12" xfId="1" applyNumberFormat="1" applyFont="1" applyFill="1" applyBorder="1" applyAlignment="1" applyProtection="1">
      <alignment vertical="center"/>
    </xf>
    <xf numFmtId="166" fontId="27" fillId="2" borderId="1" xfId="1" applyNumberFormat="1" applyFont="1" applyFill="1" applyBorder="1" applyAlignment="1" applyProtection="1">
      <alignment vertical="center"/>
    </xf>
    <xf numFmtId="9" fontId="27" fillId="2" borderId="1" xfId="3" applyFont="1" applyFill="1" applyBorder="1" applyAlignment="1" applyProtection="1">
      <alignment vertical="center"/>
    </xf>
    <xf numFmtId="9" fontId="3" fillId="2" borderId="1" xfId="3" applyFont="1" applyFill="1" applyBorder="1" applyAlignment="1" applyProtection="1">
      <alignment vertical="center"/>
    </xf>
    <xf numFmtId="166" fontId="27" fillId="7" borderId="7" xfId="1" applyNumberFormat="1" applyFont="1" applyFill="1" applyBorder="1" applyAlignment="1" applyProtection="1">
      <alignment vertical="center"/>
    </xf>
    <xf numFmtId="171" fontId="27" fillId="7" borderId="0" xfId="3" applyNumberFormat="1" applyFont="1" applyFill="1" applyBorder="1" applyAlignment="1" applyProtection="1">
      <alignment vertical="center"/>
    </xf>
    <xf numFmtId="166" fontId="27" fillId="7" borderId="18" xfId="1" applyNumberFormat="1" applyFont="1" applyFill="1" applyBorder="1" applyAlignment="1" applyProtection="1">
      <alignment vertical="center"/>
    </xf>
    <xf numFmtId="166" fontId="27" fillId="7" borderId="0" xfId="1" applyNumberFormat="1" applyFont="1" applyFill="1" applyBorder="1" applyAlignment="1" applyProtection="1">
      <alignment vertical="center"/>
    </xf>
    <xf numFmtId="166" fontId="3" fillId="7" borderId="12" xfId="1" applyNumberFormat="1" applyFont="1" applyFill="1" applyBorder="1" applyAlignment="1" applyProtection="1">
      <alignment vertical="center"/>
    </xf>
    <xf numFmtId="166" fontId="27" fillId="6" borderId="1" xfId="1" applyNumberFormat="1" applyFont="1" applyFill="1" applyBorder="1" applyAlignment="1" applyProtection="1">
      <alignment vertical="center"/>
    </xf>
    <xf numFmtId="9" fontId="27" fillId="6" borderId="1" xfId="3" applyFont="1" applyFill="1" applyBorder="1" applyAlignment="1" applyProtection="1">
      <alignment vertical="center"/>
    </xf>
    <xf numFmtId="9" fontId="3" fillId="6" borderId="1" xfId="3" applyFont="1" applyFill="1" applyBorder="1" applyAlignment="1" applyProtection="1">
      <alignment vertical="center"/>
    </xf>
    <xf numFmtId="166" fontId="27" fillId="10" borderId="20" xfId="1" applyNumberFormat="1" applyFont="1" applyFill="1" applyBorder="1" applyAlignment="1" applyProtection="1">
      <alignment vertical="center"/>
    </xf>
    <xf numFmtId="166" fontId="27" fillId="5" borderId="20" xfId="1" applyNumberFormat="1" applyFont="1" applyFill="1" applyBorder="1" applyAlignment="1" applyProtection="1">
      <alignment vertical="center"/>
    </xf>
    <xf numFmtId="166" fontId="27" fillId="2" borderId="20" xfId="1" applyNumberFormat="1" applyFont="1" applyFill="1" applyBorder="1" applyAlignment="1" applyProtection="1">
      <alignment vertical="center"/>
    </xf>
    <xf numFmtId="166" fontId="27" fillId="6" borderId="20" xfId="1" applyNumberFormat="1" applyFont="1" applyFill="1" applyBorder="1" applyAlignment="1" applyProtection="1">
      <alignment vertical="center"/>
    </xf>
    <xf numFmtId="0" fontId="27" fillId="7" borderId="21" xfId="0" applyFont="1" applyFill="1" applyBorder="1" applyAlignment="1" applyProtection="1">
      <alignment vertical="center"/>
    </xf>
    <xf numFmtId="0" fontId="27" fillId="7" borderId="23" xfId="0" applyFont="1" applyFill="1" applyBorder="1" applyAlignment="1" applyProtection="1">
      <alignment vertical="center"/>
    </xf>
    <xf numFmtId="166" fontId="27" fillId="7" borderId="23" xfId="1" applyNumberFormat="1" applyFont="1" applyFill="1" applyBorder="1" applyAlignment="1" applyProtection="1">
      <alignment vertical="center"/>
    </xf>
    <xf numFmtId="0" fontId="3" fillId="7" borderId="23" xfId="0" applyFont="1" applyFill="1" applyBorder="1" applyAlignment="1" applyProtection="1">
      <alignment vertical="center"/>
    </xf>
    <xf numFmtId="0" fontId="3" fillId="7" borderId="26" xfId="0" applyFont="1" applyFill="1" applyBorder="1" applyAlignment="1" applyProtection="1">
      <alignment vertical="center"/>
    </xf>
    <xf numFmtId="166" fontId="3" fillId="8" borderId="29" xfId="1" applyNumberFormat="1" applyFont="1" applyFill="1" applyBorder="1" applyAlignment="1" applyProtection="1">
      <alignment vertical="center"/>
      <protection locked="0"/>
    </xf>
    <xf numFmtId="164" fontId="3" fillId="8" borderId="29" xfId="0" applyNumberFormat="1" applyFont="1" applyFill="1" applyBorder="1" applyAlignment="1" applyProtection="1">
      <alignment vertical="center"/>
      <protection locked="0"/>
    </xf>
    <xf numFmtId="166" fontId="0" fillId="7" borderId="21" xfId="1" applyNumberFormat="1" applyFont="1" applyFill="1" applyBorder="1" applyAlignment="1" applyProtection="1">
      <alignment vertical="center"/>
    </xf>
    <xf numFmtId="166" fontId="0" fillId="7" borderId="26" xfId="1" applyNumberFormat="1" applyFont="1" applyFill="1" applyBorder="1" applyAlignment="1" applyProtection="1">
      <alignment vertical="center"/>
    </xf>
    <xf numFmtId="166" fontId="3" fillId="10" borderId="42" xfId="1" applyNumberFormat="1" applyFont="1" applyFill="1" applyBorder="1" applyAlignment="1" applyProtection="1">
      <alignment vertical="center"/>
    </xf>
    <xf numFmtId="166" fontId="3" fillId="5" borderId="40" xfId="1" applyNumberFormat="1" applyFont="1" applyFill="1" applyBorder="1" applyAlignment="1" applyProtection="1">
      <alignment vertical="center"/>
    </xf>
    <xf numFmtId="166" fontId="0" fillId="5" borderId="49" xfId="1" applyNumberFormat="1" applyFont="1" applyFill="1" applyBorder="1" applyAlignment="1" applyProtection="1">
      <alignment vertical="center"/>
    </xf>
    <xf numFmtId="166" fontId="3" fillId="2" borderId="41" xfId="1" applyNumberFormat="1" applyFont="1" applyFill="1" applyBorder="1" applyAlignment="1" applyProtection="1">
      <alignment vertical="center"/>
    </xf>
    <xf numFmtId="166" fontId="0" fillId="2" borderId="49" xfId="1" applyNumberFormat="1" applyFont="1" applyFill="1" applyBorder="1" applyAlignment="1" applyProtection="1">
      <alignment vertical="center"/>
    </xf>
    <xf numFmtId="166" fontId="3" fillId="6" borderId="41" xfId="1" applyNumberFormat="1" applyFont="1" applyFill="1" applyBorder="1" applyAlignment="1" applyProtection="1">
      <alignment vertical="center"/>
    </xf>
    <xf numFmtId="166" fontId="0" fillId="6" borderId="49" xfId="1" applyNumberFormat="1" applyFont="1" applyFill="1" applyBorder="1" applyAlignment="1" applyProtection="1">
      <alignment vertical="center"/>
    </xf>
    <xf numFmtId="166" fontId="3" fillId="7" borderId="41" xfId="1" applyNumberFormat="1" applyFont="1" applyFill="1" applyBorder="1" applyAlignment="1" applyProtection="1">
      <alignment vertical="center"/>
    </xf>
    <xf numFmtId="2" fontId="1" fillId="10" borderId="23" xfId="0" applyNumberFormat="1" applyFont="1" applyFill="1" applyBorder="1" applyAlignment="1" applyProtection="1">
      <alignment vertical="center"/>
    </xf>
    <xf numFmtId="0" fontId="1" fillId="10" borderId="23" xfId="0" applyFont="1" applyFill="1" applyBorder="1" applyAlignment="1" applyProtection="1">
      <alignment vertical="center"/>
    </xf>
    <xf numFmtId="2" fontId="0" fillId="5" borderId="23" xfId="0" applyNumberFormat="1" applyFill="1" applyBorder="1" applyAlignment="1" applyProtection="1">
      <alignment vertical="center"/>
    </xf>
    <xf numFmtId="166" fontId="0" fillId="5" borderId="23" xfId="1" applyNumberFormat="1" applyFont="1" applyFill="1" applyBorder="1" applyAlignment="1" applyProtection="1">
      <alignment vertical="center"/>
    </xf>
    <xf numFmtId="166" fontId="0" fillId="5" borderId="26" xfId="1" applyNumberFormat="1" applyFont="1" applyFill="1" applyBorder="1" applyAlignment="1" applyProtection="1">
      <alignment vertical="center"/>
    </xf>
    <xf numFmtId="2" fontId="0" fillId="2" borderId="23" xfId="0" applyNumberFormat="1" applyFill="1" applyBorder="1" applyAlignment="1" applyProtection="1">
      <alignment vertical="center"/>
    </xf>
    <xf numFmtId="166" fontId="0" fillId="2" borderId="23" xfId="1" applyNumberFormat="1" applyFont="1" applyFill="1" applyBorder="1" applyAlignment="1" applyProtection="1">
      <alignment vertical="center"/>
    </xf>
    <xf numFmtId="166" fontId="0" fillId="2" borderId="26" xfId="1" applyNumberFormat="1" applyFont="1" applyFill="1" applyBorder="1" applyAlignment="1" applyProtection="1">
      <alignment vertical="center"/>
    </xf>
    <xf numFmtId="2" fontId="0" fillId="6" borderId="23" xfId="0" applyNumberFormat="1" applyFill="1" applyBorder="1" applyAlignment="1" applyProtection="1">
      <alignment vertical="center"/>
    </xf>
    <xf numFmtId="166" fontId="0" fillId="6" borderId="23" xfId="1" applyNumberFormat="1" applyFont="1" applyFill="1" applyBorder="1" applyAlignment="1" applyProtection="1">
      <alignment vertical="center"/>
    </xf>
    <xf numFmtId="166" fontId="0" fillId="6" borderId="26" xfId="1" applyNumberFormat="1" applyFont="1" applyFill="1" applyBorder="1" applyAlignment="1" applyProtection="1">
      <alignment vertical="center"/>
    </xf>
    <xf numFmtId="2" fontId="0" fillId="7" borderId="23" xfId="0" applyNumberFormat="1" applyFill="1" applyBorder="1" applyAlignment="1" applyProtection="1">
      <alignment vertical="center"/>
    </xf>
    <xf numFmtId="166" fontId="3" fillId="10" borderId="62" xfId="1" applyNumberFormat="1" applyFont="1" applyFill="1" applyBorder="1" applyAlignment="1" applyProtection="1">
      <alignment vertical="center"/>
    </xf>
    <xf numFmtId="166" fontId="3" fillId="10" borderId="64" xfId="1" applyNumberFormat="1" applyFont="1" applyFill="1" applyBorder="1" applyAlignment="1" applyProtection="1">
      <alignment vertical="center"/>
    </xf>
    <xf numFmtId="166" fontId="3" fillId="10" borderId="61" xfId="1" applyNumberFormat="1" applyFont="1" applyFill="1" applyBorder="1" applyAlignment="1" applyProtection="1">
      <alignment vertical="center"/>
    </xf>
    <xf numFmtId="0" fontId="3" fillId="0" borderId="15" xfId="0" applyFont="1" applyBorder="1" applyAlignment="1" applyProtection="1">
      <alignment horizontal="right" vertical="center"/>
    </xf>
    <xf numFmtId="0" fontId="22" fillId="3" borderId="6" xfId="0" applyFont="1" applyFill="1" applyBorder="1" applyAlignment="1" applyProtection="1">
      <alignment vertical="center"/>
    </xf>
    <xf numFmtId="166" fontId="22" fillId="3" borderId="8" xfId="1" applyNumberFormat="1" applyFont="1" applyFill="1" applyBorder="1" applyAlignment="1" applyProtection="1">
      <alignment vertical="center"/>
    </xf>
    <xf numFmtId="166" fontId="3" fillId="3" borderId="23" xfId="1" applyNumberFormat="1" applyFont="1" applyFill="1" applyBorder="1" applyAlignment="1" applyProtection="1">
      <alignment vertical="center"/>
    </xf>
    <xf numFmtId="166" fontId="3" fillId="3" borderId="22" xfId="1" applyNumberFormat="1" applyFont="1" applyFill="1" applyBorder="1" applyAlignment="1" applyProtection="1">
      <alignment vertical="center"/>
    </xf>
    <xf numFmtId="166" fontId="3" fillId="3" borderId="22" xfId="0" applyNumberFormat="1" applyFont="1" applyFill="1" applyBorder="1" applyAlignment="1" applyProtection="1">
      <alignment vertical="center"/>
    </xf>
    <xf numFmtId="1" fontId="3" fillId="3" borderId="22" xfId="0" applyNumberFormat="1" applyFont="1" applyFill="1" applyBorder="1" applyAlignment="1" applyProtection="1">
      <alignment vertical="center"/>
    </xf>
    <xf numFmtId="2" fontId="3" fillId="3" borderId="22" xfId="0" applyNumberFormat="1" applyFont="1" applyFill="1" applyBorder="1" applyAlignment="1" applyProtection="1">
      <alignment vertical="center"/>
    </xf>
    <xf numFmtId="164" fontId="3" fillId="8" borderId="24" xfId="0" applyNumberFormat="1" applyFont="1" applyFill="1" applyBorder="1" applyAlignment="1" applyProtection="1">
      <alignment vertical="center"/>
    </xf>
    <xf numFmtId="166" fontId="3" fillId="3" borderId="13" xfId="1" applyNumberFormat="1" applyFont="1" applyFill="1" applyBorder="1" applyAlignment="1" applyProtection="1">
      <alignment vertical="center"/>
    </xf>
    <xf numFmtId="166" fontId="0" fillId="3" borderId="6" xfId="0" applyNumberFormat="1" applyFill="1" applyBorder="1" applyAlignment="1" applyProtection="1">
      <alignment vertical="center"/>
    </xf>
    <xf numFmtId="166" fontId="0" fillId="3" borderId="21" xfId="0" applyNumberFormat="1" applyFill="1" applyBorder="1" applyAlignment="1" applyProtection="1">
      <alignment vertical="center"/>
    </xf>
    <xf numFmtId="166" fontId="0" fillId="3" borderId="11" xfId="0" applyNumberFormat="1" applyFill="1" applyBorder="1" applyAlignment="1" applyProtection="1">
      <alignment vertical="center"/>
    </xf>
    <xf numFmtId="166" fontId="0" fillId="3" borderId="26" xfId="0" applyNumberFormat="1" applyFill="1" applyBorder="1" applyAlignment="1" applyProtection="1">
      <alignment vertical="center"/>
    </xf>
    <xf numFmtId="166" fontId="0" fillId="5" borderId="21" xfId="1" applyNumberFormat="1" applyFont="1" applyFill="1" applyBorder="1" applyAlignment="1" applyProtection="1">
      <alignment vertical="center"/>
    </xf>
    <xf numFmtId="166" fontId="0" fillId="2" borderId="21" xfId="1" applyNumberFormat="1" applyFont="1" applyFill="1" applyBorder="1" applyAlignment="1" applyProtection="1">
      <alignment vertical="center"/>
    </xf>
    <xf numFmtId="166" fontId="0" fillId="6" borderId="21" xfId="1" applyNumberFormat="1" applyFont="1" applyFill="1" applyBorder="1" applyAlignment="1" applyProtection="1">
      <alignment vertical="center"/>
    </xf>
    <xf numFmtId="44" fontId="3" fillId="8" borderId="1" xfId="2" applyFont="1" applyFill="1" applyBorder="1" applyAlignment="1" applyProtection="1">
      <alignment horizontal="center" vertical="center"/>
      <protection locked="0"/>
    </xf>
    <xf numFmtId="168" fontId="4" fillId="0" borderId="1" xfId="2" applyNumberFormat="1" applyFont="1" applyBorder="1" applyAlignment="1" applyProtection="1">
      <alignment horizontal="center" vertical="center"/>
    </xf>
    <xf numFmtId="0" fontId="0" fillId="10" borderId="23" xfId="0" applyFill="1" applyBorder="1" applyAlignment="1" applyProtection="1">
      <alignment horizontal="center" vertical="center"/>
    </xf>
    <xf numFmtId="166" fontId="0" fillId="5" borderId="23" xfId="0" applyNumberFormat="1"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26" xfId="0" applyFill="1" applyBorder="1" applyAlignment="1" applyProtection="1">
      <alignment horizontal="center" vertical="center"/>
    </xf>
    <xf numFmtId="166" fontId="0" fillId="6" borderId="23" xfId="0" applyNumberFormat="1" applyFill="1" applyBorder="1" applyAlignment="1" applyProtection="1">
      <alignment horizontal="center" vertical="center"/>
    </xf>
    <xf numFmtId="166" fontId="0" fillId="7" borderId="23" xfId="0" applyNumberFormat="1" applyFill="1" applyBorder="1" applyAlignment="1" applyProtection="1">
      <alignment horizontal="center" vertical="center"/>
    </xf>
    <xf numFmtId="0" fontId="0" fillId="2" borderId="39" xfId="0" applyFill="1" applyBorder="1" applyAlignment="1" applyProtection="1">
      <alignment horizontal="center" vertical="center"/>
    </xf>
    <xf numFmtId="0" fontId="0" fillId="2" borderId="21" xfId="0" applyFill="1" applyBorder="1" applyAlignment="1" applyProtection="1">
      <alignment horizontal="center" vertical="center"/>
    </xf>
    <xf numFmtId="166" fontId="0" fillId="10" borderId="39" xfId="0" applyNumberFormat="1" applyFill="1" applyBorder="1" applyAlignment="1" applyProtection="1">
      <alignment horizontal="center" vertical="center"/>
    </xf>
    <xf numFmtId="0" fontId="0" fillId="10" borderId="21" xfId="0" applyFill="1" applyBorder="1" applyAlignment="1" applyProtection="1">
      <alignment horizontal="center" vertical="center"/>
    </xf>
    <xf numFmtId="166" fontId="0" fillId="5" borderId="39" xfId="0" applyNumberFormat="1" applyFill="1" applyBorder="1" applyAlignment="1" applyProtection="1">
      <alignment horizontal="center" vertical="center"/>
    </xf>
    <xf numFmtId="166" fontId="0" fillId="5" borderId="21" xfId="0" applyNumberFormat="1" applyFill="1" applyBorder="1" applyAlignment="1" applyProtection="1">
      <alignment horizontal="center" vertical="center"/>
    </xf>
    <xf numFmtId="0" fontId="0" fillId="5" borderId="50" xfId="0" applyFill="1" applyBorder="1" applyAlignment="1" applyProtection="1">
      <alignment horizontal="center" vertical="center"/>
    </xf>
    <xf numFmtId="0" fontId="0" fillId="2" borderId="50" xfId="0" applyFill="1" applyBorder="1" applyAlignment="1" applyProtection="1">
      <alignment horizontal="center" vertical="center"/>
    </xf>
    <xf numFmtId="166" fontId="0" fillId="6" borderId="39" xfId="0" applyNumberFormat="1" applyFill="1" applyBorder="1" applyAlignment="1" applyProtection="1">
      <alignment horizontal="center" vertical="center"/>
    </xf>
    <xf numFmtId="166" fontId="0" fillId="6" borderId="21" xfId="0" applyNumberFormat="1" applyFill="1" applyBorder="1" applyAlignment="1" applyProtection="1">
      <alignment horizontal="center" vertical="center"/>
    </xf>
    <xf numFmtId="0" fontId="0" fillId="6" borderId="50" xfId="0" applyFill="1" applyBorder="1" applyAlignment="1" applyProtection="1">
      <alignment horizontal="center" vertical="center"/>
    </xf>
    <xf numFmtId="166" fontId="0" fillId="7" borderId="39" xfId="0" applyNumberFormat="1" applyFill="1" applyBorder="1" applyAlignment="1" applyProtection="1">
      <alignment horizontal="center" vertical="center"/>
    </xf>
    <xf numFmtId="166" fontId="0" fillId="7" borderId="21" xfId="0" applyNumberFormat="1" applyFill="1" applyBorder="1" applyAlignment="1" applyProtection="1">
      <alignment horizontal="center" vertical="center"/>
    </xf>
    <xf numFmtId="0" fontId="0" fillId="7" borderId="50" xfId="0" applyFill="1" applyBorder="1" applyAlignment="1" applyProtection="1">
      <alignment horizontal="center" vertical="center"/>
    </xf>
    <xf numFmtId="0" fontId="0" fillId="10" borderId="50" xfId="0" applyFill="1" applyBorder="1" applyAlignment="1" applyProtection="1">
      <alignment horizontal="center" vertical="center"/>
    </xf>
    <xf numFmtId="166" fontId="3" fillId="10" borderId="0" xfId="1" applyNumberFormat="1" applyFont="1" applyFill="1" applyBorder="1" applyAlignment="1" applyProtection="1">
      <alignment vertical="center"/>
    </xf>
    <xf numFmtId="166" fontId="3" fillId="5" borderId="0" xfId="1" applyNumberFormat="1" applyFont="1" applyFill="1" applyBorder="1" applyAlignment="1" applyProtection="1">
      <alignment vertical="center"/>
    </xf>
    <xf numFmtId="166" fontId="3" fillId="2" borderId="0" xfId="1" applyNumberFormat="1" applyFont="1" applyFill="1" applyBorder="1" applyAlignment="1" applyProtection="1">
      <alignment vertical="center"/>
    </xf>
    <xf numFmtId="166" fontId="3" fillId="6" borderId="0" xfId="1" applyNumberFormat="1" applyFont="1" applyFill="1" applyBorder="1" applyAlignment="1" applyProtection="1">
      <alignment vertical="center"/>
    </xf>
    <xf numFmtId="166" fontId="3" fillId="7" borderId="0" xfId="1" applyNumberFormat="1" applyFont="1" applyFill="1" applyBorder="1" applyAlignment="1" applyProtection="1">
      <alignment vertical="center"/>
    </xf>
    <xf numFmtId="0" fontId="29" fillId="0" borderId="0" xfId="4" applyAlignment="1">
      <alignment vertical="center"/>
    </xf>
    <xf numFmtId="0" fontId="29" fillId="0" borderId="0" xfId="4" quotePrefix="1" applyAlignment="1" applyProtection="1">
      <alignment vertical="center"/>
    </xf>
    <xf numFmtId="0" fontId="29" fillId="0" borderId="0" xfId="4" applyAlignment="1" applyProtection="1">
      <alignment vertical="center"/>
    </xf>
    <xf numFmtId="166" fontId="29" fillId="10" borderId="36" xfId="4" applyNumberFormat="1" applyFill="1" applyBorder="1" applyAlignment="1" applyProtection="1">
      <alignment vertical="center"/>
    </xf>
    <xf numFmtId="166" fontId="29" fillId="5" borderId="36" xfId="4" applyNumberFormat="1" applyFill="1" applyBorder="1" applyAlignment="1" applyProtection="1">
      <alignment vertical="center"/>
    </xf>
    <xf numFmtId="166" fontId="29" fillId="2" borderId="36" xfId="4" applyNumberFormat="1" applyFill="1" applyBorder="1" applyAlignment="1" applyProtection="1">
      <alignment vertical="center"/>
    </xf>
    <xf numFmtId="166" fontId="29" fillId="6" borderId="36" xfId="4" applyNumberFormat="1" applyFill="1" applyBorder="1" applyAlignment="1" applyProtection="1">
      <alignment vertical="center"/>
    </xf>
    <xf numFmtId="166" fontId="29" fillId="7" borderId="36" xfId="4" applyNumberFormat="1" applyFill="1" applyBorder="1" applyAlignment="1" applyProtection="1">
      <alignment vertical="center"/>
    </xf>
    <xf numFmtId="0" fontId="29" fillId="7" borderId="3" xfId="4" applyFill="1" applyBorder="1" applyAlignment="1" applyProtection="1">
      <alignment vertical="center"/>
    </xf>
    <xf numFmtId="166" fontId="29" fillId="10" borderId="0" xfId="4" applyNumberFormat="1" applyFill="1" applyBorder="1" applyAlignment="1" applyProtection="1">
      <alignment vertical="center"/>
    </xf>
    <xf numFmtId="0" fontId="29" fillId="10" borderId="0" xfId="4" applyFill="1" applyBorder="1" applyAlignment="1" applyProtection="1">
      <alignment vertical="center"/>
    </xf>
    <xf numFmtId="166" fontId="29" fillId="5" borderId="0" xfId="4" applyNumberFormat="1" applyFill="1" applyBorder="1" applyAlignment="1" applyProtection="1">
      <alignment vertical="center"/>
    </xf>
    <xf numFmtId="0" fontId="29" fillId="5" borderId="0" xfId="4" applyFill="1" applyBorder="1" applyAlignment="1" applyProtection="1">
      <alignment vertical="center"/>
    </xf>
    <xf numFmtId="166" fontId="29" fillId="2" borderId="0" xfId="4" applyNumberFormat="1" applyFill="1" applyBorder="1" applyAlignment="1" applyProtection="1">
      <alignment vertical="center"/>
    </xf>
    <xf numFmtId="0" fontId="29" fillId="2" borderId="0" xfId="4" applyFill="1" applyBorder="1" applyAlignment="1" applyProtection="1">
      <alignment vertical="center"/>
    </xf>
    <xf numFmtId="166" fontId="29" fillId="6" borderId="0" xfId="4" applyNumberFormat="1" applyFill="1" applyBorder="1" applyAlignment="1" applyProtection="1">
      <alignment vertical="center"/>
    </xf>
    <xf numFmtId="0" fontId="29" fillId="6" borderId="0" xfId="4" applyFill="1" applyBorder="1" applyAlignment="1" applyProtection="1">
      <alignment vertical="center"/>
    </xf>
    <xf numFmtId="166" fontId="29" fillId="7" borderId="0" xfId="4" applyNumberFormat="1" applyFill="1" applyBorder="1" applyAlignment="1" applyProtection="1">
      <alignment vertical="center"/>
    </xf>
    <xf numFmtId="0" fontId="29" fillId="7" borderId="17" xfId="4" applyFill="1" applyBorder="1" applyAlignment="1" applyProtection="1">
      <alignment vertical="center"/>
    </xf>
    <xf numFmtId="2" fontId="29" fillId="10" borderId="18" xfId="4" applyNumberFormat="1" applyFill="1" applyBorder="1" applyAlignment="1" applyProtection="1">
      <alignment vertical="center"/>
    </xf>
    <xf numFmtId="0" fontId="29" fillId="10" borderId="18" xfId="4" applyFill="1" applyBorder="1" applyAlignment="1" applyProtection="1">
      <alignment vertical="center"/>
    </xf>
    <xf numFmtId="2" fontId="29" fillId="5" borderId="18" xfId="4" applyNumberFormat="1" applyFill="1" applyBorder="1" applyAlignment="1" applyProtection="1">
      <alignment vertical="center"/>
    </xf>
    <xf numFmtId="0" fontId="29" fillId="5" borderId="18" xfId="4" applyFill="1" applyBorder="1" applyAlignment="1" applyProtection="1">
      <alignment vertical="center"/>
    </xf>
    <xf numFmtId="2" fontId="29" fillId="2" borderId="18" xfId="4" applyNumberFormat="1" applyFill="1" applyBorder="1" applyAlignment="1" applyProtection="1">
      <alignment vertical="center"/>
    </xf>
    <xf numFmtId="0" fontId="29" fillId="2" borderId="18" xfId="4" applyFill="1" applyBorder="1" applyAlignment="1" applyProtection="1">
      <alignment vertical="center"/>
    </xf>
    <xf numFmtId="2" fontId="29" fillId="6" borderId="18" xfId="4" applyNumberFormat="1" applyFill="1" applyBorder="1" applyAlignment="1" applyProtection="1">
      <alignment vertical="center"/>
    </xf>
    <xf numFmtId="0" fontId="29" fillId="6" borderId="18" xfId="4" applyFill="1" applyBorder="1" applyAlignment="1" applyProtection="1">
      <alignment vertical="center"/>
    </xf>
    <xf numFmtId="2" fontId="29" fillId="7" borderId="18" xfId="4" applyNumberFormat="1" applyFill="1" applyBorder="1" applyAlignment="1" applyProtection="1">
      <alignment vertical="center"/>
    </xf>
    <xf numFmtId="0" fontId="29" fillId="7" borderId="5" xfId="4" applyFill="1" applyBorder="1" applyAlignment="1" applyProtection="1">
      <alignment vertical="center"/>
    </xf>
    <xf numFmtId="2" fontId="29" fillId="10" borderId="36" xfId="4" applyNumberFormat="1" applyFill="1" applyBorder="1" applyAlignment="1" applyProtection="1">
      <alignment vertical="center"/>
    </xf>
    <xf numFmtId="0" fontId="29" fillId="10" borderId="36" xfId="4" applyFill="1" applyBorder="1" applyAlignment="1" applyProtection="1">
      <alignment vertical="center"/>
    </xf>
    <xf numFmtId="2" fontId="29" fillId="5" borderId="36" xfId="4" applyNumberFormat="1" applyFill="1" applyBorder="1" applyAlignment="1" applyProtection="1">
      <alignment vertical="center"/>
    </xf>
    <xf numFmtId="0" fontId="29" fillId="5" borderId="36" xfId="4" applyFill="1" applyBorder="1" applyAlignment="1" applyProtection="1">
      <alignment vertical="center"/>
    </xf>
    <xf numFmtId="2" fontId="29" fillId="2" borderId="36" xfId="4" applyNumberFormat="1" applyFill="1" applyBorder="1" applyAlignment="1" applyProtection="1">
      <alignment vertical="center"/>
    </xf>
    <xf numFmtId="0" fontId="29" fillId="2" borderId="36" xfId="4" applyFill="1" applyBorder="1" applyAlignment="1" applyProtection="1">
      <alignment vertical="center"/>
    </xf>
    <xf numFmtId="2" fontId="29" fillId="6" borderId="36" xfId="4" applyNumberFormat="1" applyFill="1" applyBorder="1" applyAlignment="1" applyProtection="1">
      <alignment vertical="center"/>
    </xf>
    <xf numFmtId="0" fontId="29" fillId="6" borderId="36" xfId="4" applyFill="1" applyBorder="1" applyAlignment="1" applyProtection="1">
      <alignment vertical="center"/>
    </xf>
    <xf numFmtId="2" fontId="29" fillId="7" borderId="36" xfId="4" applyNumberFormat="1" applyFill="1" applyBorder="1" applyAlignment="1" applyProtection="1">
      <alignment vertical="center"/>
    </xf>
    <xf numFmtId="164" fontId="29" fillId="10" borderId="0" xfId="4" applyNumberFormat="1" applyFill="1" applyBorder="1" applyAlignment="1" applyProtection="1">
      <alignment vertical="center"/>
    </xf>
    <xf numFmtId="164" fontId="29" fillId="5" borderId="0" xfId="4" applyNumberFormat="1" applyFill="1" applyBorder="1" applyAlignment="1" applyProtection="1">
      <alignment vertical="center"/>
    </xf>
    <xf numFmtId="164" fontId="29" fillId="2" borderId="0" xfId="4" applyNumberFormat="1" applyFill="1" applyBorder="1" applyAlignment="1" applyProtection="1">
      <alignment vertical="center"/>
    </xf>
    <xf numFmtId="164" fontId="29" fillId="6" borderId="0" xfId="4" applyNumberFormat="1" applyFill="1" applyBorder="1" applyAlignment="1" applyProtection="1">
      <alignment vertical="center"/>
    </xf>
    <xf numFmtId="164" fontId="29" fillId="7" borderId="0" xfId="4" applyNumberFormat="1" applyFill="1" applyBorder="1" applyAlignment="1" applyProtection="1">
      <alignment vertical="center"/>
    </xf>
    <xf numFmtId="166" fontId="29" fillId="10" borderId="18" xfId="4" applyNumberFormat="1" applyFill="1" applyBorder="1" applyAlignment="1" applyProtection="1">
      <alignment vertical="center"/>
    </xf>
    <xf numFmtId="166" fontId="29" fillId="5" borderId="18" xfId="4" applyNumberFormat="1" applyFill="1" applyBorder="1" applyAlignment="1" applyProtection="1">
      <alignment vertical="center"/>
    </xf>
    <xf numFmtId="166" fontId="29" fillId="2" borderId="18" xfId="4" applyNumberFormat="1" applyFill="1" applyBorder="1" applyAlignment="1" applyProtection="1">
      <alignment vertical="center"/>
    </xf>
    <xf numFmtId="166" fontId="29" fillId="6" borderId="18" xfId="4" applyNumberFormat="1" applyFill="1" applyBorder="1" applyAlignment="1" applyProtection="1">
      <alignment vertical="center"/>
    </xf>
    <xf numFmtId="166" fontId="29" fillId="7" borderId="18" xfId="4" applyNumberFormat="1" applyFill="1" applyBorder="1" applyAlignment="1" applyProtection="1">
      <alignment vertical="center"/>
    </xf>
    <xf numFmtId="166" fontId="27" fillId="10" borderId="7" xfId="1" applyNumberFormat="1" applyFont="1" applyFill="1" applyBorder="1" applyAlignment="1" applyProtection="1">
      <alignment vertical="center"/>
    </xf>
    <xf numFmtId="171" fontId="27" fillId="10" borderId="0" xfId="3" applyNumberFormat="1" applyFont="1" applyFill="1" applyBorder="1" applyAlignment="1" applyProtection="1">
      <alignment vertical="center"/>
    </xf>
    <xf numFmtId="166" fontId="27" fillId="10" borderId="18" xfId="1" applyNumberFormat="1" applyFont="1" applyFill="1" applyBorder="1" applyAlignment="1" applyProtection="1">
      <alignment vertical="center"/>
    </xf>
    <xf numFmtId="166" fontId="27" fillId="10" borderId="0" xfId="1" applyNumberFormat="1" applyFont="1" applyFill="1" applyBorder="1" applyAlignment="1" applyProtection="1">
      <alignment vertical="center"/>
    </xf>
    <xf numFmtId="166" fontId="3" fillId="10" borderId="12" xfId="1" applyNumberFormat="1" applyFont="1" applyFill="1" applyBorder="1" applyAlignment="1" applyProtection="1">
      <alignment vertical="center"/>
    </xf>
    <xf numFmtId="0" fontId="28" fillId="0" borderId="1" xfId="0" applyFont="1" applyBorder="1"/>
    <xf numFmtId="0" fontId="29" fillId="13" borderId="1" xfId="4" applyFill="1" applyBorder="1" applyAlignment="1" applyProtection="1">
      <alignment horizontal="center" vertical="center"/>
    </xf>
    <xf numFmtId="0" fontId="0" fillId="0" borderId="16" xfId="0" applyBorder="1"/>
    <xf numFmtId="0" fontId="0" fillId="0" borderId="15" xfId="0" applyBorder="1"/>
    <xf numFmtId="0" fontId="0" fillId="0" borderId="1" xfId="0" applyBorder="1"/>
    <xf numFmtId="0" fontId="17" fillId="0" borderId="3" xfId="0" applyFont="1" applyBorder="1" applyAlignment="1" applyProtection="1">
      <alignment horizontal="right" vertical="center"/>
    </xf>
    <xf numFmtId="0" fontId="17" fillId="0" borderId="17" xfId="0" applyFont="1" applyBorder="1" applyAlignment="1" applyProtection="1">
      <alignment horizontal="right" vertical="center"/>
    </xf>
    <xf numFmtId="0" fontId="17" fillId="0" borderId="5" xfId="0" applyFont="1" applyBorder="1" applyAlignment="1" applyProtection="1">
      <alignment horizontal="right" vertical="center"/>
    </xf>
    <xf numFmtId="0" fontId="0" fillId="0" borderId="34" xfId="0"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1" fillId="0" borderId="0" xfId="0" applyFont="1"/>
    <xf numFmtId="0" fontId="29" fillId="13" borderId="2" xfId="4" applyFill="1" applyBorder="1" applyAlignment="1" applyProtection="1">
      <alignment vertical="center"/>
    </xf>
    <xf numFmtId="0" fontId="29" fillId="13" borderId="36" xfId="4" applyFill="1" applyBorder="1" applyAlignment="1" applyProtection="1">
      <alignment vertical="center"/>
    </xf>
    <xf numFmtId="0" fontId="29" fillId="13" borderId="3" xfId="4" applyFill="1" applyBorder="1" applyAlignment="1" applyProtection="1">
      <alignment vertical="center"/>
    </xf>
    <xf numFmtId="165" fontId="3" fillId="8" borderId="19" xfId="2" applyNumberFormat="1" applyFont="1" applyFill="1" applyBorder="1" applyAlignment="1" applyProtection="1">
      <alignment vertical="center"/>
    </xf>
    <xf numFmtId="44" fontId="3" fillId="8" borderId="5" xfId="2" applyNumberFormat="1" applyFont="1" applyFill="1" applyBorder="1" applyAlignment="1" applyProtection="1">
      <alignment horizontal="center" vertical="center"/>
    </xf>
    <xf numFmtId="165" fontId="3" fillId="8" borderId="22" xfId="2" applyNumberFormat="1" applyFont="1" applyFill="1" applyBorder="1" applyAlignment="1" applyProtection="1">
      <alignment vertical="center"/>
    </xf>
    <xf numFmtId="44" fontId="3" fillId="8" borderId="15" xfId="2" applyNumberFormat="1" applyFont="1" applyFill="1" applyBorder="1" applyAlignment="1" applyProtection="1">
      <alignment horizontal="center" vertical="center"/>
    </xf>
    <xf numFmtId="165" fontId="3" fillId="8" borderId="24" xfId="2" applyNumberFormat="1" applyFont="1" applyFill="1" applyBorder="1" applyAlignment="1" applyProtection="1">
      <alignment vertical="center"/>
    </xf>
    <xf numFmtId="44" fontId="3" fillId="8" borderId="46" xfId="2" applyNumberFormat="1" applyFont="1" applyFill="1" applyBorder="1" applyAlignment="1" applyProtection="1">
      <alignment horizontal="center" vertical="center"/>
    </xf>
    <xf numFmtId="44" fontId="3" fillId="8" borderId="45" xfId="2" applyNumberFormat="1" applyFont="1" applyFill="1" applyBorder="1" applyAlignment="1" applyProtection="1">
      <alignment horizontal="center" vertical="center"/>
    </xf>
    <xf numFmtId="44" fontId="3" fillId="8" borderId="45" xfId="2" applyNumberFormat="1" applyFont="1" applyFill="1" applyBorder="1" applyAlignment="1" applyProtection="1">
      <alignment vertical="center"/>
    </xf>
    <xf numFmtId="44" fontId="3" fillId="8" borderId="15" xfId="2" applyNumberFormat="1" applyFont="1" applyFill="1" applyBorder="1" applyAlignment="1" applyProtection="1">
      <alignment vertical="center"/>
    </xf>
    <xf numFmtId="165" fontId="3" fillId="8" borderId="62" xfId="2" applyNumberFormat="1" applyFont="1" applyFill="1" applyBorder="1" applyAlignment="1" applyProtection="1">
      <alignment vertical="center"/>
    </xf>
    <xf numFmtId="44" fontId="3" fillId="8" borderId="3" xfId="2" applyNumberFormat="1" applyFont="1" applyFill="1" applyBorder="1" applyAlignment="1" applyProtection="1">
      <alignment vertical="center"/>
    </xf>
    <xf numFmtId="44" fontId="3" fillId="8" borderId="53" xfId="2" applyNumberFormat="1" applyFont="1" applyFill="1" applyBorder="1" applyAlignment="1" applyProtection="1">
      <alignment vertical="center"/>
    </xf>
    <xf numFmtId="44" fontId="3" fillId="8" borderId="46" xfId="2" applyNumberFormat="1" applyFont="1" applyFill="1" applyBorder="1" applyAlignment="1" applyProtection="1">
      <alignment vertical="center"/>
    </xf>
    <xf numFmtId="44" fontId="3" fillId="8" borderId="5" xfId="2" applyNumberFormat="1" applyFont="1" applyFill="1" applyBorder="1" applyAlignment="1" applyProtection="1">
      <alignment vertical="center"/>
    </xf>
    <xf numFmtId="165" fontId="3" fillId="8" borderId="14" xfId="2" applyNumberFormat="1" applyFont="1" applyFill="1" applyBorder="1" applyAlignment="1" applyProtection="1">
      <alignment vertical="center"/>
    </xf>
    <xf numFmtId="10" fontId="3" fillId="8" borderId="14" xfId="3" applyNumberFormat="1" applyFont="1" applyFill="1" applyBorder="1" applyAlignment="1" applyProtection="1">
      <alignment vertical="center"/>
    </xf>
    <xf numFmtId="165" fontId="3" fillId="8" borderId="43" xfId="2" applyNumberFormat="1" applyFont="1" applyFill="1" applyBorder="1" applyAlignment="1" applyProtection="1">
      <alignment vertical="center"/>
    </xf>
    <xf numFmtId="44" fontId="3" fillId="8" borderId="19" xfId="2" applyFont="1" applyFill="1" applyBorder="1" applyAlignment="1" applyProtection="1">
      <alignment vertical="center"/>
    </xf>
    <xf numFmtId="44" fontId="3" fillId="8" borderId="22" xfId="2" applyFont="1" applyFill="1" applyBorder="1" applyAlignment="1" applyProtection="1">
      <alignment vertical="center"/>
    </xf>
    <xf numFmtId="165" fontId="3" fillId="8" borderId="44" xfId="2" applyNumberFormat="1" applyFont="1" applyFill="1" applyBorder="1" applyAlignment="1" applyProtection="1">
      <alignment vertical="center"/>
    </xf>
    <xf numFmtId="44" fontId="3" fillId="8" borderId="24" xfId="2" applyFont="1" applyFill="1" applyBorder="1" applyAlignment="1" applyProtection="1">
      <alignment vertical="center"/>
    </xf>
    <xf numFmtId="9" fontId="11" fillId="8" borderId="30" xfId="3" applyFont="1" applyFill="1" applyBorder="1" applyAlignment="1" applyProtection="1">
      <alignment vertical="center"/>
    </xf>
    <xf numFmtId="165" fontId="3" fillId="8" borderId="2" xfId="2" applyNumberFormat="1" applyFont="1" applyFill="1" applyBorder="1" applyAlignment="1" applyProtection="1">
      <alignment vertical="center"/>
    </xf>
    <xf numFmtId="44" fontId="3" fillId="8" borderId="62" xfId="2" applyFont="1" applyFill="1" applyBorder="1" applyAlignment="1" applyProtection="1">
      <alignment vertical="center"/>
    </xf>
    <xf numFmtId="165" fontId="3" fillId="8" borderId="7" xfId="2" applyNumberFormat="1" applyFont="1" applyFill="1" applyBorder="1" applyAlignment="1" applyProtection="1">
      <alignment vertical="center"/>
    </xf>
    <xf numFmtId="44" fontId="3" fillId="8" borderId="51" xfId="2" applyFont="1" applyFill="1" applyBorder="1" applyAlignment="1" applyProtection="1">
      <alignment vertical="center"/>
    </xf>
    <xf numFmtId="43" fontId="3" fillId="8" borderId="22" xfId="1" applyFont="1" applyFill="1" applyBorder="1" applyAlignment="1" applyProtection="1">
      <alignment vertical="center"/>
    </xf>
    <xf numFmtId="169" fontId="3" fillId="8" borderId="19" xfId="3" applyNumberFormat="1" applyFont="1" applyFill="1" applyBorder="1" applyAlignment="1" applyProtection="1">
      <alignment vertical="center"/>
    </xf>
    <xf numFmtId="0" fontId="2" fillId="3" borderId="24" xfId="0" applyFont="1" applyFill="1" applyBorder="1" applyAlignment="1" applyProtection="1">
      <alignment horizontal="center" vertical="center" wrapText="1"/>
    </xf>
    <xf numFmtId="0" fontId="33" fillId="0" borderId="0" xfId="0" applyFont="1" applyAlignment="1" applyProtection="1">
      <alignment vertical="center"/>
    </xf>
    <xf numFmtId="0" fontId="2" fillId="0" borderId="46" xfId="0" applyFont="1" applyBorder="1" applyAlignment="1" applyProtection="1">
      <alignment horizontal="center" vertical="center"/>
    </xf>
    <xf numFmtId="0" fontId="26" fillId="2" borderId="66" xfId="0" applyFont="1" applyFill="1" applyBorder="1" applyAlignment="1" applyProtection="1">
      <alignment horizontal="center" vertical="center"/>
    </xf>
    <xf numFmtId="0" fontId="26" fillId="6" borderId="66" xfId="0" applyFont="1" applyFill="1" applyBorder="1" applyAlignment="1" applyProtection="1">
      <alignment horizontal="center" vertical="center"/>
    </xf>
    <xf numFmtId="0" fontId="26" fillId="7" borderId="66" xfId="0" applyFont="1" applyFill="1" applyBorder="1" applyAlignment="1" applyProtection="1">
      <alignment horizontal="center" vertical="center"/>
    </xf>
    <xf numFmtId="44" fontId="9" fillId="5" borderId="26" xfId="0" applyNumberFormat="1" applyFont="1" applyFill="1" applyBorder="1" applyAlignment="1" applyProtection="1">
      <alignment horizontal="center" vertical="center"/>
    </xf>
    <xf numFmtId="44" fontId="9" fillId="2" borderId="26" xfId="0" applyNumberFormat="1" applyFont="1" applyFill="1" applyBorder="1" applyAlignment="1" applyProtection="1">
      <alignment horizontal="center" vertical="center"/>
    </xf>
    <xf numFmtId="44" fontId="23" fillId="6" borderId="26" xfId="0" applyNumberFormat="1" applyFont="1" applyFill="1" applyBorder="1" applyAlignment="1" applyProtection="1">
      <alignment horizontal="center" vertical="center"/>
    </xf>
    <xf numFmtId="44" fontId="9" fillId="7" borderId="26" xfId="0" applyNumberFormat="1" applyFont="1" applyFill="1" applyBorder="1" applyAlignment="1" applyProtection="1">
      <alignment horizontal="center" vertical="center"/>
    </xf>
    <xf numFmtId="0" fontId="7" fillId="12" borderId="14" xfId="0" applyFont="1" applyFill="1" applyBorder="1" applyAlignment="1">
      <alignment horizontal="center" vertical="center"/>
    </xf>
    <xf numFmtId="0" fontId="7" fillId="12" borderId="16"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36" xfId="0" applyFont="1" applyFill="1" applyBorder="1" applyAlignment="1">
      <alignment horizontal="center" vertical="center"/>
    </xf>
    <xf numFmtId="0" fontId="7" fillId="12" borderId="3" xfId="0" applyFont="1" applyFill="1" applyBorder="1" applyAlignment="1">
      <alignment horizontal="right" vertical="center"/>
    </xf>
    <xf numFmtId="166" fontId="26" fillId="3" borderId="35" xfId="1" applyNumberFormat="1" applyFont="1" applyFill="1" applyBorder="1" applyAlignment="1" applyProtection="1">
      <alignment horizontal="center" vertical="center"/>
    </xf>
    <xf numFmtId="0" fontId="7" fillId="12" borderId="65" xfId="0" applyFont="1" applyFill="1" applyBorder="1" applyAlignment="1">
      <alignment vertical="center"/>
    </xf>
    <xf numFmtId="0" fontId="7" fillId="12" borderId="67" xfId="0" applyFont="1" applyFill="1" applyBorder="1" applyAlignment="1">
      <alignment vertical="center"/>
    </xf>
    <xf numFmtId="0" fontId="32" fillId="0" borderId="0" xfId="0" applyFont="1" applyAlignment="1">
      <alignment vertical="center"/>
    </xf>
    <xf numFmtId="0" fontId="32" fillId="11" borderId="0" xfId="0" applyFont="1" applyFill="1" applyAlignment="1">
      <alignment vertical="center"/>
    </xf>
    <xf numFmtId="44" fontId="26" fillId="3" borderId="35" xfId="2" applyFont="1" applyFill="1" applyBorder="1" applyAlignment="1" applyProtection="1">
      <alignment horizontal="center" vertical="center"/>
    </xf>
    <xf numFmtId="165" fontId="0" fillId="3" borderId="51" xfId="2" applyNumberFormat="1" applyFont="1" applyFill="1" applyBorder="1" applyAlignment="1" applyProtection="1">
      <alignment vertical="center"/>
    </xf>
    <xf numFmtId="0" fontId="5" fillId="0" borderId="57" xfId="0" applyFont="1" applyBorder="1" applyAlignment="1" applyProtection="1">
      <alignment horizontal="right" vertical="center"/>
    </xf>
    <xf numFmtId="0" fontId="0" fillId="0" borderId="1" xfId="0" applyBorder="1" applyAlignment="1" applyProtection="1">
      <alignment horizontal="right" vertical="center"/>
    </xf>
    <xf numFmtId="44" fontId="0" fillId="0" borderId="1" xfId="2" applyFont="1" applyBorder="1" applyAlignment="1" applyProtection="1">
      <alignment horizontal="right" vertical="center"/>
    </xf>
    <xf numFmtId="9" fontId="0" fillId="0" borderId="1" xfId="3" applyFont="1" applyBorder="1" applyAlignment="1" applyProtection="1">
      <alignment horizontal="right" vertical="center"/>
    </xf>
    <xf numFmtId="165" fontId="0" fillId="10" borderId="51" xfId="0" applyNumberFormat="1" applyFill="1" applyBorder="1" applyAlignment="1" applyProtection="1">
      <alignment vertical="center"/>
    </xf>
    <xf numFmtId="0" fontId="0" fillId="10" borderId="47" xfId="0" applyFill="1" applyBorder="1" applyAlignment="1" applyProtection="1">
      <alignment horizontal="center" vertical="center"/>
    </xf>
    <xf numFmtId="165" fontId="0" fillId="5" borderId="51" xfId="0" applyNumberFormat="1" applyFill="1" applyBorder="1" applyAlignment="1" applyProtection="1">
      <alignment vertical="center"/>
    </xf>
    <xf numFmtId="0" fontId="0" fillId="5" borderId="47" xfId="0" applyFill="1" applyBorder="1" applyAlignment="1" applyProtection="1">
      <alignment horizontal="center" vertical="center"/>
    </xf>
    <xf numFmtId="165" fontId="0" fillId="2" borderId="51" xfId="0" applyNumberFormat="1" applyFill="1" applyBorder="1" applyAlignment="1" applyProtection="1">
      <alignment vertical="center"/>
    </xf>
    <xf numFmtId="0" fontId="0" fillId="2" borderId="47" xfId="0" applyFill="1" applyBorder="1" applyAlignment="1" applyProtection="1">
      <alignment horizontal="center" vertical="center"/>
    </xf>
    <xf numFmtId="165" fontId="0" fillId="6" borderId="51" xfId="0" applyNumberFormat="1" applyFill="1" applyBorder="1" applyAlignment="1" applyProtection="1">
      <alignment vertical="center"/>
    </xf>
    <xf numFmtId="0" fontId="0" fillId="6" borderId="47" xfId="0" applyFill="1" applyBorder="1" applyAlignment="1" applyProtection="1">
      <alignment horizontal="center" vertical="center"/>
    </xf>
    <xf numFmtId="165" fontId="0" fillId="7" borderId="51" xfId="0" applyNumberFormat="1" applyFill="1" applyBorder="1" applyAlignment="1" applyProtection="1">
      <alignment vertical="center"/>
    </xf>
    <xf numFmtId="0" fontId="0" fillId="7" borderId="47" xfId="0" applyFill="1" applyBorder="1" applyAlignment="1" applyProtection="1">
      <alignment horizontal="center" vertical="center"/>
    </xf>
    <xf numFmtId="44" fontId="0" fillId="0" borderId="65" xfId="2" applyFont="1" applyBorder="1" applyAlignment="1" applyProtection="1">
      <alignment vertical="center"/>
    </xf>
    <xf numFmtId="9" fontId="0" fillId="0" borderId="65" xfId="3" applyFont="1" applyBorder="1" applyAlignment="1" applyProtection="1">
      <alignment vertical="center"/>
    </xf>
    <xf numFmtId="0" fontId="0" fillId="0" borderId="42" xfId="0" applyBorder="1" applyAlignment="1" applyProtection="1">
      <alignment horizontal="right" vertical="center"/>
    </xf>
    <xf numFmtId="44" fontId="0" fillId="0" borderId="67" xfId="2" applyFont="1" applyBorder="1" applyAlignment="1" applyProtection="1">
      <alignment vertical="center"/>
    </xf>
    <xf numFmtId="0" fontId="2" fillId="10" borderId="11" xfId="0" applyFont="1" applyFill="1" applyBorder="1" applyAlignment="1" applyProtection="1">
      <alignment vertical="center"/>
    </xf>
    <xf numFmtId="0" fontId="2" fillId="5" borderId="11" xfId="0" applyFont="1" applyFill="1" applyBorder="1" applyAlignment="1" applyProtection="1">
      <alignment vertical="center"/>
    </xf>
    <xf numFmtId="0" fontId="2" fillId="2" borderId="11" xfId="0" applyFont="1" applyFill="1" applyBorder="1" applyAlignment="1" applyProtection="1">
      <alignment vertical="center"/>
    </xf>
    <xf numFmtId="0" fontId="2" fillId="6" borderId="11" xfId="0" applyFont="1" applyFill="1" applyBorder="1" applyAlignment="1" applyProtection="1">
      <alignment vertical="center"/>
    </xf>
    <xf numFmtId="0" fontId="2" fillId="7" borderId="11" xfId="0" applyFont="1" applyFill="1" applyBorder="1" applyAlignment="1" applyProtection="1">
      <alignment vertical="center"/>
    </xf>
    <xf numFmtId="0" fontId="3" fillId="11" borderId="1" xfId="0" applyFont="1" applyFill="1" applyBorder="1" applyAlignment="1">
      <alignment vertical="center"/>
    </xf>
    <xf numFmtId="165" fontId="3" fillId="11" borderId="1" xfId="2" applyNumberFormat="1" applyFont="1" applyFill="1" applyBorder="1" applyAlignment="1" applyProtection="1">
      <alignment vertical="center"/>
    </xf>
    <xf numFmtId="0" fontId="3" fillId="11" borderId="1" xfId="0" quotePrefix="1" applyFont="1" applyFill="1" applyBorder="1" applyAlignment="1" applyProtection="1">
      <alignment horizontal="right" vertical="center"/>
    </xf>
    <xf numFmtId="165" fontId="3" fillId="11" borderId="1" xfId="2" applyNumberFormat="1" applyFont="1" applyFill="1" applyBorder="1" applyAlignment="1" applyProtection="1">
      <alignment horizontal="center" vertical="center"/>
    </xf>
    <xf numFmtId="0" fontId="22" fillId="11" borderId="1" xfId="0" applyFont="1" applyFill="1" applyBorder="1" applyAlignment="1" applyProtection="1">
      <alignment horizontal="right" vertical="center"/>
    </xf>
    <xf numFmtId="44" fontId="7" fillId="2" borderId="66" xfId="2" applyFont="1" applyFill="1" applyBorder="1" applyAlignment="1">
      <alignment horizontal="right" vertical="center"/>
    </xf>
    <xf numFmtId="44" fontId="7" fillId="6" borderId="66" xfId="2" applyFont="1" applyFill="1" applyBorder="1" applyAlignment="1">
      <alignment horizontal="right" vertical="center"/>
    </xf>
    <xf numFmtId="44" fontId="7" fillId="7" borderId="66" xfId="2" applyFont="1" applyFill="1" applyBorder="1" applyAlignment="1">
      <alignment horizontal="right" vertical="center"/>
    </xf>
    <xf numFmtId="166" fontId="3" fillId="10" borderId="23" xfId="1" applyNumberFormat="1" applyFont="1" applyFill="1" applyBorder="1" applyAlignment="1" applyProtection="1">
      <alignment horizontal="center" vertical="center"/>
    </xf>
    <xf numFmtId="166" fontId="3" fillId="5" borderId="23" xfId="1" applyNumberFormat="1" applyFont="1" applyFill="1" applyBorder="1" applyAlignment="1" applyProtection="1">
      <alignment horizontal="center" vertical="center"/>
    </xf>
    <xf numFmtId="166" fontId="3" fillId="2" borderId="23" xfId="1" applyNumberFormat="1" applyFont="1" applyFill="1" applyBorder="1" applyAlignment="1" applyProtection="1">
      <alignment horizontal="center" vertical="center"/>
    </xf>
    <xf numFmtId="166" fontId="3" fillId="6" borderId="23" xfId="1" applyNumberFormat="1" applyFont="1" applyFill="1" applyBorder="1" applyAlignment="1" applyProtection="1">
      <alignment horizontal="center" vertical="center"/>
    </xf>
    <xf numFmtId="166" fontId="3" fillId="7" borderId="23" xfId="1" applyNumberFormat="1" applyFont="1" applyFill="1" applyBorder="1" applyAlignment="1" applyProtection="1">
      <alignment horizontal="center" vertical="center"/>
    </xf>
    <xf numFmtId="44" fontId="5" fillId="12" borderId="27" xfId="2" applyFont="1" applyFill="1" applyBorder="1" applyAlignment="1">
      <alignment horizontal="right" vertical="center"/>
    </xf>
    <xf numFmtId="44" fontId="5" fillId="12" borderId="29" xfId="2" applyFont="1" applyFill="1" applyBorder="1" applyAlignment="1">
      <alignment horizontal="right" vertical="center"/>
    </xf>
    <xf numFmtId="0" fontId="5" fillId="12" borderId="14" xfId="0" applyFont="1" applyFill="1" applyBorder="1" applyAlignment="1" applyProtection="1">
      <alignment vertical="center"/>
    </xf>
    <xf numFmtId="0" fontId="5" fillId="12" borderId="16" xfId="0" applyFont="1" applyFill="1" applyBorder="1" applyAlignment="1">
      <alignment horizontal="right" vertical="center"/>
    </xf>
    <xf numFmtId="166" fontId="3" fillId="3" borderId="23" xfId="1" applyNumberFormat="1" applyFont="1" applyFill="1" applyBorder="1" applyAlignment="1" applyProtection="1">
      <alignment horizontal="center" vertical="center"/>
    </xf>
    <xf numFmtId="0" fontId="22" fillId="7" borderId="21" xfId="0" applyFont="1" applyFill="1" applyBorder="1" applyAlignment="1" applyProtection="1">
      <alignment horizontal="center" vertical="center"/>
    </xf>
    <xf numFmtId="2" fontId="0" fillId="7" borderId="23" xfId="0" applyNumberFormat="1" applyFill="1" applyBorder="1" applyAlignment="1" applyProtection="1">
      <alignment horizontal="center" vertical="center"/>
    </xf>
    <xf numFmtId="0" fontId="0" fillId="7" borderId="23" xfId="0" applyFill="1" applyBorder="1" applyAlignment="1" applyProtection="1">
      <alignment horizontal="center" vertical="center"/>
    </xf>
    <xf numFmtId="0" fontId="0" fillId="7" borderId="26" xfId="0" applyFill="1" applyBorder="1" applyAlignment="1" applyProtection="1">
      <alignment horizontal="center" vertical="center"/>
    </xf>
    <xf numFmtId="0" fontId="22" fillId="2" borderId="23" xfId="0" applyFont="1" applyFill="1" applyBorder="1" applyAlignment="1" applyProtection="1">
      <alignment horizontal="center" vertical="center"/>
    </xf>
    <xf numFmtId="2" fontId="0" fillId="2" borderId="23" xfId="0" applyNumberFormat="1" applyFill="1" applyBorder="1" applyAlignment="1" applyProtection="1">
      <alignment horizontal="center" vertical="center"/>
    </xf>
    <xf numFmtId="166" fontId="0" fillId="2" borderId="49" xfId="1" applyNumberFormat="1" applyFont="1" applyFill="1" applyBorder="1" applyAlignment="1" applyProtection="1">
      <alignment horizontal="center" vertical="center"/>
    </xf>
    <xf numFmtId="0" fontId="22" fillId="5" borderId="23" xfId="0" applyFont="1" applyFill="1" applyBorder="1" applyAlignment="1" applyProtection="1">
      <alignment horizontal="center" vertical="center"/>
    </xf>
    <xf numFmtId="2" fontId="0" fillId="5" borderId="23" xfId="0" applyNumberFormat="1" applyFill="1" applyBorder="1" applyAlignment="1" applyProtection="1">
      <alignment horizontal="center" vertical="center"/>
    </xf>
    <xf numFmtId="0" fontId="0" fillId="5" borderId="23" xfId="0" applyFill="1" applyBorder="1" applyAlignment="1" applyProtection="1">
      <alignment horizontal="center" vertical="center"/>
    </xf>
    <xf numFmtId="166" fontId="0" fillId="5" borderId="49" xfId="1" applyNumberFormat="1" applyFont="1" applyFill="1" applyBorder="1" applyAlignment="1" applyProtection="1">
      <alignment horizontal="center" vertical="center"/>
    </xf>
    <xf numFmtId="0" fontId="22" fillId="10" borderId="23" xfId="0" applyFont="1" applyFill="1" applyBorder="1" applyAlignment="1" applyProtection="1">
      <alignment horizontal="center" vertical="center"/>
    </xf>
    <xf numFmtId="166" fontId="3" fillId="10" borderId="26" xfId="1" applyNumberFormat="1" applyFont="1" applyFill="1" applyBorder="1" applyAlignment="1" applyProtection="1">
      <alignment horizontal="center" vertical="center"/>
    </xf>
    <xf numFmtId="166" fontId="3" fillId="10" borderId="42" xfId="1" applyNumberFormat="1" applyFont="1" applyFill="1" applyBorder="1" applyAlignment="1" applyProtection="1">
      <alignment horizontal="center" vertical="center"/>
    </xf>
    <xf numFmtId="166" fontId="3" fillId="3" borderId="13" xfId="1" applyNumberFormat="1" applyFont="1" applyFill="1" applyBorder="1" applyAlignment="1" applyProtection="1">
      <alignment horizontal="center" vertical="center"/>
    </xf>
    <xf numFmtId="166" fontId="0" fillId="3" borderId="21" xfId="0" applyNumberFormat="1" applyFill="1" applyBorder="1" applyAlignment="1" applyProtection="1">
      <alignment horizontal="center" vertical="center"/>
    </xf>
    <xf numFmtId="166" fontId="0" fillId="3" borderId="26" xfId="0" applyNumberFormat="1" applyFill="1" applyBorder="1" applyAlignment="1" applyProtection="1">
      <alignment horizontal="center" vertical="center"/>
    </xf>
    <xf numFmtId="166" fontId="3" fillId="10" borderId="21" xfId="1" applyNumberFormat="1" applyFont="1" applyFill="1" applyBorder="1" applyAlignment="1" applyProtection="1">
      <alignment horizontal="center" vertical="center"/>
    </xf>
    <xf numFmtId="166" fontId="0" fillId="5" borderId="21" xfId="1" applyNumberFormat="1" applyFont="1" applyFill="1" applyBorder="1" applyAlignment="1" applyProtection="1">
      <alignment horizontal="center" vertical="center"/>
    </xf>
    <xf numFmtId="166" fontId="0" fillId="2" borderId="21" xfId="1" applyNumberFormat="1" applyFont="1" applyFill="1" applyBorder="1" applyAlignment="1" applyProtection="1">
      <alignment horizontal="center" vertical="center"/>
    </xf>
    <xf numFmtId="166" fontId="0" fillId="6" borderId="21" xfId="1" applyNumberFormat="1" applyFont="1" applyFill="1" applyBorder="1" applyAlignment="1" applyProtection="1">
      <alignment horizontal="center" vertical="center"/>
    </xf>
    <xf numFmtId="166" fontId="0" fillId="7" borderId="21" xfId="1" applyNumberFormat="1" applyFont="1" applyFill="1" applyBorder="1" applyAlignment="1" applyProtection="1">
      <alignment horizontal="center" vertical="center"/>
    </xf>
    <xf numFmtId="171" fontId="27" fillId="10" borderId="1" xfId="3" applyNumberFormat="1" applyFont="1" applyFill="1" applyBorder="1" applyAlignment="1" applyProtection="1">
      <alignment horizontal="center" vertical="center"/>
    </xf>
    <xf numFmtId="166" fontId="27" fillId="10" borderId="1" xfId="1" applyNumberFormat="1" applyFont="1" applyFill="1" applyBorder="1" applyAlignment="1" applyProtection="1">
      <alignment horizontal="center" vertical="center"/>
    </xf>
    <xf numFmtId="166" fontId="3" fillId="10" borderId="1" xfId="1" applyNumberFormat="1" applyFont="1" applyFill="1" applyBorder="1" applyAlignment="1" applyProtection="1">
      <alignment horizontal="center" vertical="center"/>
    </xf>
    <xf numFmtId="166" fontId="3" fillId="10" borderId="1" xfId="0" applyNumberFormat="1" applyFont="1" applyFill="1" applyBorder="1" applyAlignment="1" applyProtection="1">
      <alignment horizontal="center" vertical="center"/>
    </xf>
    <xf numFmtId="166" fontId="3" fillId="10" borderId="25" xfId="1" applyNumberFormat="1" applyFont="1" applyFill="1" applyBorder="1" applyAlignment="1" applyProtection="1">
      <alignment horizontal="center" vertical="center"/>
    </xf>
    <xf numFmtId="166" fontId="3" fillId="10" borderId="0" xfId="1" applyNumberFormat="1" applyFont="1" applyFill="1" applyBorder="1" applyAlignment="1" applyProtection="1">
      <alignment horizontal="center" vertical="center"/>
    </xf>
    <xf numFmtId="0" fontId="0" fillId="0" borderId="0" xfId="0" applyAlignment="1">
      <alignment horizontal="center" vertical="center"/>
    </xf>
    <xf numFmtId="166" fontId="27" fillId="5" borderId="20" xfId="1" applyNumberFormat="1" applyFont="1" applyFill="1" applyBorder="1" applyAlignment="1" applyProtection="1">
      <alignment horizontal="center" vertical="center"/>
    </xf>
    <xf numFmtId="9" fontId="27" fillId="5" borderId="1" xfId="3" applyFont="1" applyFill="1" applyBorder="1" applyAlignment="1" applyProtection="1">
      <alignment horizontal="center" vertical="center"/>
    </xf>
    <xf numFmtId="166" fontId="27" fillId="5" borderId="1" xfId="1" applyNumberFormat="1" applyFont="1" applyFill="1" applyBorder="1" applyAlignment="1" applyProtection="1">
      <alignment horizontal="center" vertical="center"/>
    </xf>
    <xf numFmtId="166" fontId="3" fillId="5" borderId="1" xfId="1" applyNumberFormat="1" applyFont="1" applyFill="1" applyBorder="1" applyAlignment="1" applyProtection="1">
      <alignment horizontal="center" vertical="center"/>
    </xf>
    <xf numFmtId="9" fontId="3" fillId="5" borderId="1" xfId="3" applyFont="1" applyFill="1" applyBorder="1" applyAlignment="1" applyProtection="1">
      <alignment horizontal="center" vertical="center"/>
    </xf>
    <xf numFmtId="166" fontId="3" fillId="5" borderId="25" xfId="1" applyNumberFormat="1" applyFont="1" applyFill="1" applyBorder="1" applyAlignment="1" applyProtection="1">
      <alignment horizontal="center" vertical="center"/>
    </xf>
    <xf numFmtId="166" fontId="27" fillId="2" borderId="20" xfId="1" applyNumberFormat="1" applyFont="1" applyFill="1" applyBorder="1" applyAlignment="1" applyProtection="1">
      <alignment horizontal="center" vertical="center"/>
    </xf>
    <xf numFmtId="9" fontId="27" fillId="2" borderId="1" xfId="3" applyFont="1" applyFill="1" applyBorder="1" applyAlignment="1" applyProtection="1">
      <alignment horizontal="center" vertical="center"/>
    </xf>
    <xf numFmtId="166" fontId="27" fillId="2" borderId="1" xfId="1" applyNumberFormat="1" applyFont="1" applyFill="1" applyBorder="1" applyAlignment="1" applyProtection="1">
      <alignment horizontal="center" vertical="center"/>
    </xf>
    <xf numFmtId="166" fontId="3" fillId="2" borderId="1" xfId="1" applyNumberFormat="1" applyFont="1" applyFill="1" applyBorder="1" applyAlignment="1" applyProtection="1">
      <alignment horizontal="center" vertical="center"/>
    </xf>
    <xf numFmtId="9" fontId="3" fillId="2" borderId="1" xfId="3" applyFont="1" applyFill="1" applyBorder="1" applyAlignment="1" applyProtection="1">
      <alignment horizontal="center" vertical="center"/>
    </xf>
    <xf numFmtId="166" fontId="27" fillId="6" borderId="20" xfId="1" applyNumberFormat="1" applyFont="1" applyFill="1" applyBorder="1" applyAlignment="1" applyProtection="1">
      <alignment horizontal="center" vertical="center"/>
    </xf>
    <xf numFmtId="9" fontId="27" fillId="6" borderId="1" xfId="3" applyFont="1" applyFill="1" applyBorder="1" applyAlignment="1" applyProtection="1">
      <alignment horizontal="center" vertical="center"/>
    </xf>
    <xf numFmtId="166" fontId="27" fillId="6" borderId="1" xfId="1" applyNumberFormat="1" applyFont="1" applyFill="1" applyBorder="1" applyAlignment="1" applyProtection="1">
      <alignment horizontal="center" vertical="center"/>
    </xf>
    <xf numFmtId="166" fontId="3" fillId="6" borderId="1" xfId="1" applyNumberFormat="1" applyFont="1" applyFill="1" applyBorder="1" applyAlignment="1" applyProtection="1">
      <alignment horizontal="center" vertical="center"/>
    </xf>
    <xf numFmtId="9" fontId="3" fillId="6" borderId="1" xfId="3" applyFont="1" applyFill="1" applyBorder="1" applyAlignment="1" applyProtection="1">
      <alignment horizontal="center" vertical="center"/>
    </xf>
    <xf numFmtId="166" fontId="3" fillId="6" borderId="25" xfId="1" applyNumberFormat="1" applyFont="1" applyFill="1" applyBorder="1" applyAlignment="1" applyProtection="1">
      <alignment horizontal="center" vertical="center"/>
    </xf>
    <xf numFmtId="0" fontId="27" fillId="7" borderId="21" xfId="0" applyFont="1" applyFill="1" applyBorder="1" applyAlignment="1" applyProtection="1">
      <alignment horizontal="center" vertical="center"/>
    </xf>
    <xf numFmtId="0" fontId="27" fillId="7" borderId="23" xfId="0" applyFont="1" applyFill="1" applyBorder="1" applyAlignment="1" applyProtection="1">
      <alignment horizontal="center" vertical="center"/>
    </xf>
    <xf numFmtId="166" fontId="27" fillId="7" borderId="23" xfId="1" applyNumberFormat="1" applyFont="1" applyFill="1" applyBorder="1" applyAlignment="1" applyProtection="1">
      <alignment horizontal="center" vertical="center"/>
    </xf>
    <xf numFmtId="0" fontId="3" fillId="7" borderId="23" xfId="0" applyFont="1" applyFill="1" applyBorder="1" applyAlignment="1" applyProtection="1">
      <alignment horizontal="center" vertical="center"/>
    </xf>
    <xf numFmtId="0" fontId="3" fillId="7" borderId="26" xfId="0" applyFont="1" applyFill="1" applyBorder="1" applyAlignment="1" applyProtection="1">
      <alignment horizontal="center" vertical="center"/>
    </xf>
    <xf numFmtId="166" fontId="5" fillId="5" borderId="8" xfId="1" applyNumberFormat="1" applyFont="1" applyFill="1" applyBorder="1" applyAlignment="1" applyProtection="1">
      <alignment horizontal="center" vertical="center"/>
    </xf>
    <xf numFmtId="166" fontId="3" fillId="5" borderId="21" xfId="1" applyNumberFormat="1" applyFont="1" applyFill="1" applyBorder="1" applyAlignment="1" applyProtection="1">
      <alignment horizontal="center" vertical="center"/>
    </xf>
    <xf numFmtId="166" fontId="3" fillId="5" borderId="26" xfId="1" applyNumberFormat="1" applyFont="1" applyFill="1" applyBorder="1" applyAlignment="1" applyProtection="1">
      <alignment horizontal="center" vertical="center"/>
    </xf>
    <xf numFmtId="166" fontId="5" fillId="2" borderId="8" xfId="1" applyNumberFormat="1" applyFont="1" applyFill="1" applyBorder="1" applyAlignment="1" applyProtection="1">
      <alignment horizontal="center" vertical="center"/>
    </xf>
    <xf numFmtId="166" fontId="3" fillId="2" borderId="21" xfId="1" applyNumberFormat="1" applyFont="1" applyFill="1" applyBorder="1" applyAlignment="1" applyProtection="1">
      <alignment horizontal="center" vertical="center"/>
    </xf>
    <xf numFmtId="166" fontId="3" fillId="2" borderId="26" xfId="1" applyNumberFormat="1" applyFont="1" applyFill="1" applyBorder="1" applyAlignment="1" applyProtection="1">
      <alignment horizontal="center" vertical="center"/>
    </xf>
    <xf numFmtId="166" fontId="5" fillId="6" borderId="8" xfId="1" applyNumberFormat="1" applyFont="1" applyFill="1" applyBorder="1" applyAlignment="1" applyProtection="1">
      <alignment horizontal="center" vertical="center"/>
    </xf>
    <xf numFmtId="166" fontId="3" fillId="6" borderId="21" xfId="1" applyNumberFormat="1" applyFont="1" applyFill="1" applyBorder="1" applyAlignment="1" applyProtection="1">
      <alignment horizontal="center" vertical="center"/>
    </xf>
    <xf numFmtId="166" fontId="3" fillId="6" borderId="26" xfId="1" applyNumberFormat="1" applyFont="1" applyFill="1" applyBorder="1" applyAlignment="1" applyProtection="1">
      <alignment horizontal="center" vertical="center"/>
    </xf>
    <xf numFmtId="166" fontId="5" fillId="7" borderId="8" xfId="1" applyNumberFormat="1" applyFont="1" applyFill="1" applyBorder="1" applyAlignment="1" applyProtection="1">
      <alignment horizontal="center" vertical="center"/>
    </xf>
    <xf numFmtId="166" fontId="3" fillId="7" borderId="21" xfId="1" applyNumberFormat="1" applyFont="1" applyFill="1" applyBorder="1" applyAlignment="1" applyProtection="1">
      <alignment horizontal="center" vertical="center"/>
    </xf>
    <xf numFmtId="166" fontId="3" fillId="7" borderId="26" xfId="1" applyNumberFormat="1" applyFont="1" applyFill="1" applyBorder="1" applyAlignment="1" applyProtection="1">
      <alignment horizontal="center" vertical="center"/>
    </xf>
    <xf numFmtId="0" fontId="3" fillId="8" borderId="21" xfId="0" applyFont="1" applyFill="1" applyBorder="1" applyAlignment="1" applyProtection="1">
      <alignment horizontal="center" vertical="center"/>
    </xf>
    <xf numFmtId="0" fontId="3" fillId="8" borderId="23" xfId="0" applyFont="1" applyFill="1" applyBorder="1" applyAlignment="1" applyProtection="1">
      <alignment horizontal="center" vertical="center"/>
    </xf>
    <xf numFmtId="0" fontId="3" fillId="8" borderId="26" xfId="0" applyFont="1" applyFill="1" applyBorder="1" applyAlignment="1" applyProtection="1">
      <alignment horizontal="center" vertical="center"/>
    </xf>
    <xf numFmtId="0" fontId="3" fillId="8" borderId="56" xfId="0" applyFont="1" applyFill="1" applyBorder="1" applyAlignment="1" applyProtection="1">
      <alignment horizontal="center" vertical="center"/>
    </xf>
    <xf numFmtId="165" fontId="0" fillId="10" borderId="21" xfId="2" applyNumberFormat="1" applyFont="1" applyFill="1" applyBorder="1" applyAlignment="1" applyProtection="1">
      <alignment horizontal="center" vertical="center"/>
    </xf>
    <xf numFmtId="9" fontId="0" fillId="0" borderId="67" xfId="3" applyFont="1" applyBorder="1" applyAlignment="1" applyProtection="1">
      <alignment horizontal="center" vertical="center"/>
    </xf>
    <xf numFmtId="0" fontId="2" fillId="10" borderId="13" xfId="0" applyFont="1" applyFill="1" applyBorder="1" applyAlignment="1" applyProtection="1">
      <alignment horizontal="center" vertical="center"/>
    </xf>
    <xf numFmtId="44" fontId="0" fillId="10" borderId="8" xfId="2" applyFont="1" applyFill="1" applyBorder="1" applyAlignment="1" applyProtection="1">
      <alignment horizontal="center" vertical="center"/>
    </xf>
    <xf numFmtId="44" fontId="0" fillId="10" borderId="10" xfId="2" applyFont="1" applyFill="1" applyBorder="1" applyAlignment="1" applyProtection="1">
      <alignment horizontal="center" vertical="center"/>
    </xf>
    <xf numFmtId="44" fontId="0" fillId="10" borderId="13" xfId="2" applyFont="1" applyFill="1" applyBorder="1" applyAlignment="1" applyProtection="1">
      <alignment horizontal="center" vertical="center"/>
    </xf>
    <xf numFmtId="9" fontId="11" fillId="8" borderId="23" xfId="3" applyFont="1" applyFill="1" applyBorder="1" applyAlignment="1" applyProtection="1">
      <alignment horizontal="center" vertical="center"/>
    </xf>
    <xf numFmtId="44" fontId="0" fillId="10" borderId="50" xfId="2" applyFont="1" applyFill="1" applyBorder="1" applyAlignment="1" applyProtection="1">
      <alignment horizontal="center" vertical="center"/>
    </xf>
    <xf numFmtId="9" fontId="0" fillId="0" borderId="1" xfId="3" applyFont="1" applyBorder="1" applyAlignment="1" applyProtection="1">
      <alignment horizontal="center" vertical="center"/>
    </xf>
    <xf numFmtId="165" fontId="0" fillId="5" borderId="21" xfId="2" applyNumberFormat="1" applyFont="1" applyFill="1" applyBorder="1" applyAlignment="1" applyProtection="1">
      <alignment horizontal="center" vertical="center"/>
    </xf>
    <xf numFmtId="0" fontId="0" fillId="5" borderId="21" xfId="0" applyFill="1" applyBorder="1" applyAlignment="1" applyProtection="1">
      <alignment horizontal="center" vertical="center"/>
    </xf>
    <xf numFmtId="0" fontId="0" fillId="5" borderId="26" xfId="0" applyFill="1" applyBorder="1" applyAlignment="1" applyProtection="1">
      <alignment horizontal="center" vertical="center"/>
    </xf>
    <xf numFmtId="0" fontId="2" fillId="5" borderId="13" xfId="0" applyFont="1" applyFill="1" applyBorder="1" applyAlignment="1" applyProtection="1">
      <alignment horizontal="center" vertical="center"/>
    </xf>
    <xf numFmtId="44" fontId="0" fillId="5" borderId="8" xfId="2" applyFont="1" applyFill="1" applyBorder="1" applyAlignment="1" applyProtection="1">
      <alignment horizontal="center" vertical="center"/>
    </xf>
    <xf numFmtId="44" fontId="0" fillId="5" borderId="10" xfId="2" applyFont="1" applyFill="1" applyBorder="1" applyAlignment="1" applyProtection="1">
      <alignment horizontal="center" vertical="center"/>
    </xf>
    <xf numFmtId="44" fontId="0" fillId="5" borderId="13" xfId="2" applyFont="1" applyFill="1" applyBorder="1" applyAlignment="1" applyProtection="1">
      <alignment horizontal="center" vertical="center"/>
    </xf>
    <xf numFmtId="44" fontId="0" fillId="5" borderId="50" xfId="2" applyFont="1" applyFill="1" applyBorder="1" applyAlignment="1" applyProtection="1">
      <alignment horizontal="center" vertical="center"/>
    </xf>
    <xf numFmtId="165" fontId="9" fillId="5" borderId="21" xfId="0" applyNumberFormat="1" applyFont="1" applyFill="1" applyBorder="1" applyAlignment="1" applyProtection="1">
      <alignment horizontal="center" vertical="center"/>
    </xf>
    <xf numFmtId="165" fontId="0" fillId="2" borderId="21" xfId="2" applyNumberFormat="1"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44" fontId="0" fillId="2" borderId="8" xfId="2" applyFont="1" applyFill="1" applyBorder="1" applyAlignment="1" applyProtection="1">
      <alignment horizontal="center" vertical="center"/>
    </xf>
    <xf numFmtId="44" fontId="0" fillId="2" borderId="10" xfId="2" applyFont="1" applyFill="1" applyBorder="1" applyAlignment="1" applyProtection="1">
      <alignment horizontal="center" vertical="center"/>
    </xf>
    <xf numFmtId="44" fontId="0" fillId="2" borderId="13" xfId="2" applyFont="1" applyFill="1" applyBorder="1" applyAlignment="1" applyProtection="1">
      <alignment horizontal="center" vertical="center"/>
    </xf>
    <xf numFmtId="44" fontId="0" fillId="2" borderId="50" xfId="2" applyFont="1" applyFill="1" applyBorder="1" applyAlignment="1" applyProtection="1">
      <alignment horizontal="center" vertical="center"/>
    </xf>
    <xf numFmtId="165" fontId="9" fillId="2" borderId="21" xfId="0" applyNumberFormat="1" applyFont="1" applyFill="1" applyBorder="1" applyAlignment="1" applyProtection="1">
      <alignment horizontal="center" vertical="center"/>
    </xf>
    <xf numFmtId="165" fontId="0" fillId="6" borderId="21" xfId="2" applyNumberFormat="1" applyFont="1" applyFill="1" applyBorder="1" applyAlignment="1" applyProtection="1">
      <alignment horizontal="center" vertical="center"/>
    </xf>
    <xf numFmtId="0" fontId="0" fillId="6" borderId="21" xfId="0" applyFill="1" applyBorder="1" applyAlignment="1" applyProtection="1">
      <alignment horizontal="center" vertical="center"/>
    </xf>
    <xf numFmtId="0" fontId="0" fillId="6" borderId="23" xfId="0" applyFill="1" applyBorder="1" applyAlignment="1" applyProtection="1">
      <alignment horizontal="center" vertical="center"/>
    </xf>
    <xf numFmtId="0" fontId="0" fillId="6" borderId="26" xfId="0" applyFill="1" applyBorder="1" applyAlignment="1" applyProtection="1">
      <alignment horizontal="center" vertical="center"/>
    </xf>
    <xf numFmtId="0" fontId="2" fillId="6" borderId="13" xfId="0" applyFont="1" applyFill="1" applyBorder="1" applyAlignment="1" applyProtection="1">
      <alignment horizontal="center" vertical="center"/>
    </xf>
    <xf numFmtId="44" fontId="0" fillId="6" borderId="8" xfId="2" applyFont="1" applyFill="1" applyBorder="1" applyAlignment="1" applyProtection="1">
      <alignment horizontal="center" vertical="center"/>
    </xf>
    <xf numFmtId="44" fontId="0" fillId="6" borderId="10" xfId="2" applyFont="1" applyFill="1" applyBorder="1" applyAlignment="1" applyProtection="1">
      <alignment horizontal="center" vertical="center"/>
    </xf>
    <xf numFmtId="44" fontId="0" fillId="6" borderId="13" xfId="2" applyFont="1" applyFill="1" applyBorder="1" applyAlignment="1" applyProtection="1">
      <alignment horizontal="center" vertical="center"/>
    </xf>
    <xf numFmtId="44" fontId="0" fillId="6" borderId="50" xfId="2" applyFont="1" applyFill="1" applyBorder="1" applyAlignment="1" applyProtection="1">
      <alignment horizontal="center" vertical="center"/>
    </xf>
    <xf numFmtId="165" fontId="23" fillId="6" borderId="21" xfId="0" applyNumberFormat="1" applyFont="1" applyFill="1" applyBorder="1" applyAlignment="1" applyProtection="1">
      <alignment horizontal="center" vertical="center"/>
    </xf>
    <xf numFmtId="165" fontId="0" fillId="7" borderId="21" xfId="2" applyNumberFormat="1" applyFont="1" applyFill="1" applyBorder="1" applyAlignment="1" applyProtection="1">
      <alignment horizontal="center" vertical="center"/>
    </xf>
    <xf numFmtId="0" fontId="0" fillId="7" borderId="21" xfId="0" applyFill="1" applyBorder="1" applyAlignment="1" applyProtection="1">
      <alignment horizontal="center" vertical="center"/>
    </xf>
    <xf numFmtId="0" fontId="0" fillId="7" borderId="13" xfId="0" applyFill="1" applyBorder="1" applyAlignment="1" applyProtection="1">
      <alignment horizontal="center" vertical="center"/>
    </xf>
    <xf numFmtId="44" fontId="0" fillId="7" borderId="8" xfId="2" applyFont="1" applyFill="1" applyBorder="1" applyAlignment="1" applyProtection="1">
      <alignment horizontal="center" vertical="center"/>
    </xf>
    <xf numFmtId="44" fontId="0" fillId="7" borderId="10" xfId="2" applyFont="1" applyFill="1" applyBorder="1" applyAlignment="1" applyProtection="1">
      <alignment horizontal="center" vertical="center"/>
    </xf>
    <xf numFmtId="44" fontId="0" fillId="7" borderId="13" xfId="2" applyFont="1" applyFill="1" applyBorder="1" applyAlignment="1" applyProtection="1">
      <alignment horizontal="center" vertical="center"/>
    </xf>
    <xf numFmtId="9" fontId="11" fillId="8" borderId="30" xfId="3" applyFont="1" applyFill="1" applyBorder="1" applyAlignment="1" applyProtection="1">
      <alignment horizontal="center" vertical="center"/>
    </xf>
    <xf numFmtId="44" fontId="0" fillId="7" borderId="50" xfId="2" applyFont="1" applyFill="1" applyBorder="1" applyAlignment="1" applyProtection="1">
      <alignment horizontal="center" vertical="center"/>
    </xf>
    <xf numFmtId="165" fontId="9" fillId="7" borderId="21" xfId="0" applyNumberFormat="1" applyFont="1" applyFill="1" applyBorder="1" applyAlignment="1" applyProtection="1">
      <alignment horizontal="center" vertical="center"/>
    </xf>
    <xf numFmtId="0" fontId="7" fillId="12" borderId="4" xfId="0" applyFont="1" applyFill="1" applyBorder="1" applyAlignment="1">
      <alignment horizontal="right" vertical="center"/>
    </xf>
    <xf numFmtId="0" fontId="23" fillId="11" borderId="14" xfId="0" applyFont="1" applyFill="1" applyBorder="1" applyAlignment="1" applyProtection="1">
      <alignment horizontal="right" vertical="center"/>
    </xf>
    <xf numFmtId="44" fontId="9" fillId="10" borderId="26" xfId="0" applyNumberFormat="1" applyFont="1" applyFill="1" applyBorder="1" applyAlignment="1" applyProtection="1">
      <alignment horizontal="center" vertical="center"/>
    </xf>
    <xf numFmtId="0" fontId="26" fillId="10" borderId="33" xfId="0" applyFont="1" applyFill="1" applyBorder="1" applyAlignment="1" applyProtection="1">
      <alignment horizontal="center" vertical="center"/>
    </xf>
    <xf numFmtId="44" fontId="7" fillId="10" borderId="59" xfId="2" applyFont="1" applyFill="1" applyBorder="1" applyAlignment="1">
      <alignment horizontal="right" vertical="center"/>
    </xf>
    <xf numFmtId="44" fontId="7" fillId="5" borderId="42" xfId="0" applyNumberFormat="1" applyFont="1" applyFill="1" applyBorder="1" applyAlignment="1" applyProtection="1">
      <alignment horizontal="center" vertical="center"/>
    </xf>
    <xf numFmtId="44" fontId="7" fillId="5" borderId="59" xfId="2" applyFont="1" applyFill="1" applyBorder="1" applyAlignment="1">
      <alignment horizontal="right" vertical="center"/>
    </xf>
    <xf numFmtId="44" fontId="7" fillId="2" borderId="59" xfId="2" applyFont="1" applyFill="1" applyBorder="1" applyAlignment="1">
      <alignment horizontal="right" vertical="center"/>
    </xf>
    <xf numFmtId="0" fontId="26" fillId="10" borderId="58" xfId="0" applyFont="1" applyFill="1" applyBorder="1" applyAlignment="1" applyProtection="1">
      <alignment horizontal="center" vertical="center"/>
    </xf>
    <xf numFmtId="0" fontId="0" fillId="0" borderId="0" xfId="0" applyBorder="1" applyAlignment="1" applyProtection="1">
      <alignment horizontal="right" vertical="center"/>
    </xf>
    <xf numFmtId="44" fontId="7" fillId="12" borderId="59" xfId="2" applyFont="1" applyFill="1" applyBorder="1" applyAlignment="1">
      <alignment horizontal="right" vertical="center"/>
    </xf>
    <xf numFmtId="0" fontId="26" fillId="12" borderId="30" xfId="0" applyFont="1" applyFill="1" applyBorder="1" applyAlignment="1" applyProtection="1">
      <alignment horizontal="center" vertical="center"/>
    </xf>
    <xf numFmtId="44" fontId="7" fillId="12" borderId="42" xfId="0" applyNumberFormat="1" applyFont="1" applyFill="1" applyBorder="1" applyAlignment="1" applyProtection="1">
      <alignment horizontal="center" vertical="center"/>
    </xf>
    <xf numFmtId="44" fontId="7" fillId="12" borderId="66" xfId="2" applyFont="1" applyFill="1" applyBorder="1" applyAlignment="1">
      <alignment horizontal="right" vertical="center"/>
    </xf>
    <xf numFmtId="0" fontId="26" fillId="12" borderId="66" xfId="0" applyFont="1" applyFill="1" applyBorder="1" applyAlignment="1" applyProtection="1">
      <alignment horizontal="center" vertical="center"/>
    </xf>
    <xf numFmtId="0" fontId="24" fillId="12" borderId="0" xfId="0" applyFont="1" applyFill="1" applyBorder="1" applyAlignment="1" applyProtection="1">
      <alignment horizontal="right" vertical="center"/>
    </xf>
    <xf numFmtId="164" fontId="3" fillId="8" borderId="21" xfId="0" applyNumberFormat="1" applyFont="1" applyFill="1" applyBorder="1" applyAlignment="1" applyProtection="1">
      <alignment vertical="center"/>
    </xf>
    <xf numFmtId="164" fontId="3" fillId="8" borderId="23" xfId="0" applyNumberFormat="1" applyFont="1" applyFill="1" applyBorder="1" applyAlignment="1" applyProtection="1">
      <alignment vertical="center"/>
    </xf>
    <xf numFmtId="164" fontId="3" fillId="8" borderId="26" xfId="0" applyNumberFormat="1" applyFont="1" applyFill="1" applyBorder="1" applyAlignment="1" applyProtection="1">
      <alignment vertical="center"/>
    </xf>
    <xf numFmtId="164" fontId="3" fillId="8" borderId="56" xfId="0" applyNumberFormat="1" applyFont="1" applyFill="1" applyBorder="1" applyAlignment="1" applyProtection="1">
      <alignment vertical="center"/>
    </xf>
    <xf numFmtId="44" fontId="7" fillId="10" borderId="42" xfId="2" applyFont="1" applyFill="1" applyBorder="1" applyAlignment="1">
      <alignment horizontal="right" vertical="center"/>
    </xf>
    <xf numFmtId="0" fontId="7" fillId="12" borderId="15" xfId="0" applyFont="1" applyFill="1" applyBorder="1" applyAlignment="1">
      <alignment horizontal="right" vertical="center"/>
    </xf>
    <xf numFmtId="44" fontId="0" fillId="0" borderId="0" xfId="0" applyNumberFormat="1" applyBorder="1" applyAlignment="1" applyProtection="1">
      <alignment vertical="center"/>
    </xf>
    <xf numFmtId="44" fontId="0" fillId="0" borderId="1" xfId="0" applyNumberFormat="1" applyBorder="1" applyAlignment="1" applyProtection="1">
      <alignment vertical="center"/>
    </xf>
    <xf numFmtId="0" fontId="2" fillId="0" borderId="0" xfId="0" applyFont="1" applyAlignment="1" applyProtection="1">
      <alignment horizontal="right" vertical="center"/>
    </xf>
    <xf numFmtId="169" fontId="3" fillId="8" borderId="1" xfId="3" applyNumberFormat="1" applyFont="1" applyFill="1" applyBorder="1" applyAlignment="1" applyProtection="1">
      <alignment horizontal="center" vertical="center"/>
      <protection locked="0"/>
    </xf>
    <xf numFmtId="169" fontId="3" fillId="8" borderId="1" xfId="3" applyNumberFormat="1" applyFont="1" applyFill="1" applyBorder="1" applyAlignment="1" applyProtection="1">
      <alignment vertical="center"/>
      <protection locked="0"/>
    </xf>
    <xf numFmtId="164" fontId="3" fillId="8" borderId="21" xfId="0" applyNumberFormat="1" applyFont="1" applyFill="1" applyBorder="1" applyAlignment="1" applyProtection="1">
      <alignment vertical="center"/>
      <protection locked="0"/>
    </xf>
    <xf numFmtId="164" fontId="3" fillId="8" borderId="23" xfId="0" applyNumberFormat="1" applyFont="1" applyFill="1" applyBorder="1" applyAlignment="1" applyProtection="1">
      <alignment vertical="center"/>
      <protection locked="0"/>
    </xf>
    <xf numFmtId="164" fontId="3" fillId="8" borderId="26" xfId="0" applyNumberFormat="1" applyFont="1" applyFill="1" applyBorder="1" applyAlignment="1" applyProtection="1">
      <alignment vertical="center"/>
      <protection locked="0"/>
    </xf>
    <xf numFmtId="164" fontId="3" fillId="8" borderId="56" xfId="0" applyNumberFormat="1" applyFont="1" applyFill="1" applyBorder="1" applyAlignment="1" applyProtection="1">
      <alignment vertical="center"/>
      <protection locked="0"/>
    </xf>
    <xf numFmtId="0" fontId="3" fillId="8" borderId="21" xfId="0" applyFont="1" applyFill="1" applyBorder="1" applyAlignment="1" applyProtection="1">
      <alignment horizontal="center" vertical="center"/>
      <protection locked="0"/>
    </xf>
    <xf numFmtId="0" fontId="3" fillId="8" borderId="23" xfId="0" applyFont="1" applyFill="1" applyBorder="1" applyAlignment="1" applyProtection="1">
      <alignment horizontal="center" vertical="center"/>
      <protection locked="0"/>
    </xf>
    <xf numFmtId="0" fontId="3" fillId="8" borderId="26" xfId="0" applyFont="1" applyFill="1" applyBorder="1" applyAlignment="1" applyProtection="1">
      <alignment horizontal="center" vertical="center"/>
      <protection locked="0"/>
    </xf>
    <xf numFmtId="0" fontId="3" fillId="8" borderId="56" xfId="0" applyFont="1" applyFill="1" applyBorder="1" applyAlignment="1" applyProtection="1">
      <alignment horizontal="center" vertical="center"/>
      <protection locked="0"/>
    </xf>
    <xf numFmtId="9" fontId="11" fillId="8" borderId="23" xfId="3" applyFont="1" applyFill="1" applyBorder="1" applyAlignment="1" applyProtection="1">
      <alignment horizontal="center" vertical="center"/>
      <protection locked="0"/>
    </xf>
    <xf numFmtId="9" fontId="11" fillId="8" borderId="30" xfId="3" applyFont="1" applyFill="1" applyBorder="1" applyAlignment="1" applyProtection="1">
      <alignment horizontal="center" vertical="center"/>
      <protection locked="0"/>
    </xf>
    <xf numFmtId="9" fontId="0" fillId="0" borderId="67" xfId="3" applyFont="1" applyBorder="1" applyAlignment="1" applyProtection="1">
      <alignment vertical="center"/>
    </xf>
    <xf numFmtId="165" fontId="0" fillId="0" borderId="41" xfId="0" applyNumberFormat="1" applyBorder="1" applyAlignment="1" applyProtection="1">
      <alignment vertical="center"/>
    </xf>
    <xf numFmtId="0" fontId="5" fillId="0" borderId="41" xfId="0" applyFont="1" applyBorder="1" applyAlignment="1" applyProtection="1">
      <alignment horizontal="right" vertical="center"/>
    </xf>
    <xf numFmtId="166" fontId="0" fillId="3" borderId="50" xfId="1" applyNumberFormat="1" applyFont="1" applyFill="1" applyBorder="1" applyAlignment="1" applyProtection="1">
      <alignment vertical="center"/>
    </xf>
    <xf numFmtId="165" fontId="0" fillId="10" borderId="48" xfId="2" applyNumberFormat="1" applyFont="1" applyFill="1" applyBorder="1" applyAlignment="1" applyProtection="1">
      <alignment vertical="center"/>
    </xf>
    <xf numFmtId="165" fontId="0" fillId="5" borderId="48" xfId="2" applyNumberFormat="1" applyFont="1" applyFill="1" applyBorder="1" applyAlignment="1" applyProtection="1">
      <alignment vertical="center"/>
    </xf>
    <xf numFmtId="165" fontId="0" fillId="2" borderId="48" xfId="2" applyNumberFormat="1" applyFont="1" applyFill="1" applyBorder="1" applyAlignment="1" applyProtection="1">
      <alignment vertical="center"/>
    </xf>
    <xf numFmtId="165" fontId="0" fillId="6" borderId="48" xfId="2" applyNumberFormat="1" applyFont="1" applyFill="1" applyBorder="1" applyAlignment="1" applyProtection="1">
      <alignment vertical="center"/>
    </xf>
    <xf numFmtId="44" fontId="0" fillId="6" borderId="60" xfId="2" applyFont="1" applyFill="1" applyBorder="1" applyAlignment="1" applyProtection="1">
      <alignment horizontal="center" vertical="center"/>
    </xf>
    <xf numFmtId="165" fontId="0" fillId="7" borderId="59" xfId="2" applyNumberFormat="1" applyFont="1" applyFill="1" applyBorder="1" applyAlignment="1" applyProtection="1">
      <alignment vertical="center"/>
    </xf>
    <xf numFmtId="44" fontId="0" fillId="7" borderId="42" xfId="2" applyFont="1" applyFill="1" applyBorder="1" applyAlignment="1" applyProtection="1">
      <alignment horizontal="center" vertical="center"/>
    </xf>
    <xf numFmtId="0" fontId="0" fillId="0" borderId="67" xfId="0" applyBorder="1" applyAlignment="1" applyProtection="1">
      <alignment horizontal="right" vertical="center"/>
    </xf>
    <xf numFmtId="44" fontId="0" fillId="11" borderId="17" xfId="2" applyNumberFormat="1" applyFont="1" applyFill="1" applyBorder="1" applyAlignment="1" applyProtection="1">
      <alignment vertical="center"/>
    </xf>
    <xf numFmtId="9" fontId="0" fillId="11" borderId="68" xfId="3" applyFont="1" applyFill="1" applyBorder="1" applyAlignment="1" applyProtection="1">
      <alignment vertical="center"/>
    </xf>
    <xf numFmtId="0" fontId="0" fillId="11" borderId="0" xfId="0" applyFill="1" applyBorder="1" applyAlignment="1" applyProtection="1">
      <alignment horizontal="right" vertical="center"/>
    </xf>
    <xf numFmtId="44" fontId="0" fillId="11" borderId="64" xfId="2" applyNumberFormat="1" applyFont="1" applyFill="1" applyBorder="1" applyAlignment="1" applyProtection="1">
      <alignment vertical="center"/>
    </xf>
    <xf numFmtId="9" fontId="0" fillId="11" borderId="68" xfId="3" applyFont="1" applyFill="1" applyBorder="1" applyAlignment="1" applyProtection="1">
      <alignment horizontal="center" vertical="center"/>
    </xf>
    <xf numFmtId="9" fontId="0" fillId="11" borderId="34" xfId="3" applyFont="1" applyFill="1" applyBorder="1" applyAlignment="1" applyProtection="1">
      <alignment horizontal="center" vertical="center"/>
    </xf>
    <xf numFmtId="44" fontId="0" fillId="11" borderId="69" xfId="2" applyNumberFormat="1" applyFont="1" applyFill="1" applyBorder="1" applyAlignment="1" applyProtection="1">
      <alignment vertical="center"/>
    </xf>
    <xf numFmtId="9" fontId="0" fillId="11" borderId="10" xfId="3" applyFont="1" applyFill="1" applyBorder="1" applyAlignment="1" applyProtection="1">
      <alignment horizontal="center" vertical="center"/>
    </xf>
    <xf numFmtId="0" fontId="2" fillId="0" borderId="59" xfId="0" applyFont="1" applyBorder="1" applyAlignment="1" applyProtection="1">
      <alignment horizontal="center" vertical="center"/>
    </xf>
    <xf numFmtId="165" fontId="0" fillId="7" borderId="48" xfId="2" applyNumberFormat="1" applyFont="1" applyFill="1" applyBorder="1" applyAlignment="1" applyProtection="1">
      <alignment vertical="center"/>
    </xf>
    <xf numFmtId="0" fontId="0" fillId="0" borderId="18" xfId="0" applyBorder="1" applyAlignment="1" applyProtection="1">
      <alignment horizontal="center" vertical="center"/>
    </xf>
    <xf numFmtId="166" fontId="27" fillId="10" borderId="20" xfId="1" applyNumberFormat="1" applyFont="1" applyFill="1" applyBorder="1" applyAlignment="1" applyProtection="1">
      <alignment horizontal="center" vertical="center"/>
    </xf>
    <xf numFmtId="166" fontId="3" fillId="2" borderId="25" xfId="1" applyNumberFormat="1" applyFont="1" applyFill="1" applyBorder="1" applyAlignment="1" applyProtection="1">
      <alignment horizontal="center" vertical="center"/>
    </xf>
    <xf numFmtId="0" fontId="22" fillId="6" borderId="21" xfId="0" applyFont="1" applyFill="1" applyBorder="1" applyAlignment="1" applyProtection="1">
      <alignment horizontal="center" vertical="center"/>
    </xf>
    <xf numFmtId="2" fontId="0" fillId="6" borderId="23" xfId="0" applyNumberFormat="1" applyFill="1" applyBorder="1" applyAlignment="1" applyProtection="1">
      <alignment horizontal="center" vertical="center"/>
    </xf>
    <xf numFmtId="166" fontId="0" fillId="6" borderId="49" xfId="1" applyNumberFormat="1" applyFont="1" applyFill="1" applyBorder="1" applyAlignment="1" applyProtection="1">
      <alignment horizontal="center" vertical="center"/>
    </xf>
    <xf numFmtId="0" fontId="0" fillId="0" borderId="5" xfId="0" applyBorder="1" applyAlignment="1" applyProtection="1">
      <alignment horizontal="center" vertical="center"/>
    </xf>
    <xf numFmtId="166" fontId="25" fillId="10" borderId="8" xfId="1" applyNumberFormat="1" applyFont="1" applyFill="1" applyBorder="1" applyAlignment="1" applyProtection="1">
      <alignment horizontal="center" vertical="center"/>
    </xf>
    <xf numFmtId="166" fontId="3" fillId="3" borderId="17" xfId="1" applyNumberFormat="1" applyFont="1" applyFill="1" applyBorder="1" applyAlignment="1" applyProtection="1">
      <alignment horizontal="center" vertical="center"/>
    </xf>
    <xf numFmtId="166" fontId="5" fillId="0" borderId="0" xfId="1" applyNumberFormat="1" applyFont="1" applyAlignment="1" applyProtection="1">
      <alignment horizontal="center" vertical="center"/>
    </xf>
    <xf numFmtId="166" fontId="0" fillId="3" borderId="20" xfId="0" applyNumberFormat="1" applyFill="1" applyBorder="1" applyAlignment="1" applyProtection="1">
      <alignment horizontal="center" vertical="center"/>
    </xf>
    <xf numFmtId="166" fontId="0" fillId="3" borderId="1" xfId="0" applyNumberFormat="1" applyFill="1" applyBorder="1" applyAlignment="1" applyProtection="1">
      <alignment horizontal="center" vertical="center"/>
    </xf>
    <xf numFmtId="166" fontId="0" fillId="3" borderId="25" xfId="0" applyNumberFormat="1" applyFill="1" applyBorder="1" applyAlignment="1" applyProtection="1">
      <alignment horizontal="center" vertical="center"/>
    </xf>
    <xf numFmtId="166" fontId="4" fillId="0" borderId="20" xfId="1" applyNumberFormat="1" applyFont="1" applyBorder="1" applyAlignment="1" applyProtection="1">
      <alignment horizontal="center" vertical="center"/>
    </xf>
    <xf numFmtId="0" fontId="5" fillId="12" borderId="15" xfId="0" applyFont="1" applyFill="1" applyBorder="1" applyAlignment="1">
      <alignment horizontal="right" vertical="center"/>
    </xf>
    <xf numFmtId="44" fontId="5" fillId="12" borderId="15" xfId="2" applyFont="1" applyFill="1" applyBorder="1" applyAlignment="1">
      <alignment horizontal="right" vertical="center"/>
    </xf>
    <xf numFmtId="166" fontId="22" fillId="3" borderId="17" xfId="1" applyNumberFormat="1" applyFont="1" applyFill="1" applyBorder="1" applyAlignment="1" applyProtection="1">
      <alignment horizontal="center" vertical="center"/>
    </xf>
    <xf numFmtId="0" fontId="22" fillId="10" borderId="6" xfId="1" applyNumberFormat="1" applyFont="1" applyFill="1" applyBorder="1" applyAlignment="1" applyProtection="1">
      <alignment horizontal="center" vertical="center"/>
    </xf>
    <xf numFmtId="0" fontId="25" fillId="10" borderId="8" xfId="1" applyNumberFormat="1" applyFont="1" applyFill="1" applyBorder="1" applyAlignment="1" applyProtection="1">
      <alignment horizontal="center" vertical="center"/>
    </xf>
    <xf numFmtId="0" fontId="5" fillId="5" borderId="6" xfId="1" applyNumberFormat="1" applyFont="1" applyFill="1" applyBorder="1" applyAlignment="1" applyProtection="1">
      <alignment horizontal="center" vertical="center"/>
    </xf>
    <xf numFmtId="0" fontId="5" fillId="5" borderId="8" xfId="1" applyNumberFormat="1" applyFont="1" applyFill="1" applyBorder="1" applyAlignment="1" applyProtection="1">
      <alignment horizontal="center" vertical="center"/>
    </xf>
    <xf numFmtId="0" fontId="5" fillId="2" borderId="6" xfId="1" applyNumberFormat="1" applyFont="1" applyFill="1" applyBorder="1" applyAlignment="1" applyProtection="1">
      <alignment horizontal="center" vertical="center"/>
    </xf>
    <xf numFmtId="0" fontId="5" fillId="2" borderId="8" xfId="1" applyNumberFormat="1" applyFont="1" applyFill="1" applyBorder="1" applyAlignment="1" applyProtection="1">
      <alignment horizontal="center" vertical="center"/>
    </xf>
    <xf numFmtId="0" fontId="5" fillId="6" borderId="6" xfId="1" applyNumberFormat="1" applyFont="1" applyFill="1" applyBorder="1" applyAlignment="1" applyProtection="1">
      <alignment horizontal="center" vertical="center"/>
    </xf>
    <xf numFmtId="0" fontId="5" fillId="6" borderId="8" xfId="1" applyNumberFormat="1" applyFont="1" applyFill="1" applyBorder="1" applyAlignment="1" applyProtection="1">
      <alignment horizontal="center" vertical="center"/>
    </xf>
    <xf numFmtId="0" fontId="5" fillId="7" borderId="6" xfId="1" applyNumberFormat="1" applyFont="1" applyFill="1" applyBorder="1" applyAlignment="1" applyProtection="1">
      <alignment horizontal="center" vertical="center"/>
    </xf>
    <xf numFmtId="0" fontId="5" fillId="7" borderId="8" xfId="1" applyNumberFormat="1" applyFont="1" applyFill="1" applyBorder="1" applyAlignment="1" applyProtection="1">
      <alignment horizontal="center" vertical="center"/>
    </xf>
    <xf numFmtId="0" fontId="5" fillId="10" borderId="40" xfId="0" applyNumberFormat="1" applyFont="1" applyFill="1" applyBorder="1" applyAlignment="1" applyProtection="1">
      <alignment horizontal="left" vertical="center"/>
    </xf>
    <xf numFmtId="0" fontId="5" fillId="10" borderId="42" xfId="0" applyNumberFormat="1" applyFont="1" applyFill="1" applyBorder="1" applyAlignment="1" applyProtection="1">
      <alignment horizontal="left" vertical="center"/>
    </xf>
    <xf numFmtId="0" fontId="5" fillId="5" borderId="40" xfId="0" applyNumberFormat="1" applyFont="1" applyFill="1" applyBorder="1" applyAlignment="1" applyProtection="1">
      <alignment horizontal="left" vertical="center"/>
    </xf>
    <xf numFmtId="0" fontId="5" fillId="5" borderId="42" xfId="0" applyNumberFormat="1" applyFont="1" applyFill="1" applyBorder="1" applyAlignment="1" applyProtection="1">
      <alignment horizontal="left" vertical="center"/>
    </xf>
    <xf numFmtId="0" fontId="5" fillId="2" borderId="40" xfId="0" applyNumberFormat="1" applyFont="1" applyFill="1" applyBorder="1" applyAlignment="1" applyProtection="1">
      <alignment horizontal="left" vertical="center"/>
    </xf>
    <xf numFmtId="0" fontId="5" fillId="2" borderId="42" xfId="0" applyNumberFormat="1" applyFont="1" applyFill="1" applyBorder="1" applyAlignment="1" applyProtection="1">
      <alignment horizontal="left" vertical="center"/>
    </xf>
    <xf numFmtId="0" fontId="5" fillId="6" borderId="40" xfId="0" applyNumberFormat="1" applyFont="1" applyFill="1" applyBorder="1" applyAlignment="1" applyProtection="1">
      <alignment horizontal="left" vertical="center"/>
    </xf>
    <xf numFmtId="0" fontId="5" fillId="6" borderId="42" xfId="0" applyNumberFormat="1" applyFont="1" applyFill="1" applyBorder="1" applyAlignment="1" applyProtection="1">
      <alignment horizontal="left" vertical="center"/>
    </xf>
    <xf numFmtId="0" fontId="5" fillId="7" borderId="40" xfId="0" applyNumberFormat="1" applyFont="1" applyFill="1" applyBorder="1" applyAlignment="1" applyProtection="1">
      <alignment horizontal="left" vertical="center"/>
    </xf>
    <xf numFmtId="0" fontId="5" fillId="7" borderId="42" xfId="0" applyNumberFormat="1" applyFont="1" applyFill="1" applyBorder="1" applyAlignment="1" applyProtection="1">
      <alignment horizontal="left" vertical="center"/>
    </xf>
    <xf numFmtId="44" fontId="5" fillId="12" borderId="38" xfId="2" applyFont="1" applyFill="1" applyBorder="1" applyAlignment="1">
      <alignment horizontal="right" vertical="center"/>
    </xf>
    <xf numFmtId="0" fontId="22" fillId="10" borderId="39" xfId="0" applyFont="1" applyFill="1" applyBorder="1" applyAlignment="1" applyProtection="1">
      <alignment horizontal="center" vertical="center"/>
    </xf>
    <xf numFmtId="0" fontId="22" fillId="5" borderId="39" xfId="0" applyFont="1" applyFill="1" applyBorder="1" applyAlignment="1" applyProtection="1">
      <alignment horizontal="center" vertical="center"/>
    </xf>
    <xf numFmtId="0" fontId="22" fillId="2" borderId="39" xfId="0" applyFont="1" applyFill="1" applyBorder="1" applyAlignment="1" applyProtection="1">
      <alignment horizontal="center" vertical="center"/>
    </xf>
    <xf numFmtId="0" fontId="22" fillId="6" borderId="39" xfId="0" applyFont="1" applyFill="1" applyBorder="1" applyAlignment="1" applyProtection="1">
      <alignment horizontal="center" vertical="center"/>
    </xf>
    <xf numFmtId="0" fontId="22" fillId="7" borderId="39" xfId="0" applyFont="1" applyFill="1" applyBorder="1" applyAlignment="1" applyProtection="1">
      <alignment horizontal="center" vertical="center"/>
    </xf>
    <xf numFmtId="44" fontId="5" fillId="12" borderId="48" xfId="2" applyFont="1" applyFill="1" applyBorder="1" applyAlignment="1">
      <alignment horizontal="right" vertical="center"/>
    </xf>
    <xf numFmtId="0" fontId="22" fillId="10" borderId="41" xfId="0" applyFont="1" applyFill="1" applyBorder="1" applyAlignment="1" applyProtection="1">
      <alignment horizontal="center" vertical="center"/>
    </xf>
    <xf numFmtId="44" fontId="5" fillId="12" borderId="55" xfId="2" applyFont="1" applyFill="1" applyBorder="1" applyAlignment="1">
      <alignment horizontal="right" vertical="center"/>
    </xf>
    <xf numFmtId="0" fontId="22" fillId="5" borderId="41" xfId="0" applyFont="1" applyFill="1" applyBorder="1" applyAlignment="1" applyProtection="1">
      <alignment horizontal="center" vertical="center"/>
    </xf>
    <xf numFmtId="0" fontId="22" fillId="2" borderId="49" xfId="0" applyFont="1" applyFill="1" applyBorder="1" applyAlignment="1" applyProtection="1">
      <alignment horizontal="center" vertical="center"/>
    </xf>
    <xf numFmtId="0" fontId="22" fillId="6" borderId="49" xfId="0" applyFont="1" applyFill="1" applyBorder="1" applyAlignment="1" applyProtection="1">
      <alignment horizontal="center" vertical="center"/>
    </xf>
    <xf numFmtId="0" fontId="22" fillId="7" borderId="50" xfId="0" applyFont="1" applyFill="1" applyBorder="1" applyAlignment="1" applyProtection="1">
      <alignment horizontal="center" vertical="center"/>
    </xf>
    <xf numFmtId="44" fontId="0" fillId="0" borderId="35" xfId="2" applyFont="1" applyBorder="1" applyAlignment="1" applyProtection="1">
      <alignment horizontal="right" vertical="center"/>
    </xf>
    <xf numFmtId="9" fontId="0" fillId="0" borderId="35" xfId="3" applyFont="1" applyBorder="1" applyAlignment="1" applyProtection="1">
      <alignment horizontal="right" vertical="center"/>
    </xf>
    <xf numFmtId="0" fontId="3" fillId="11" borderId="65" xfId="0" applyFont="1" applyFill="1" applyBorder="1" applyAlignment="1">
      <alignment vertical="center"/>
    </xf>
    <xf numFmtId="165" fontId="3" fillId="11" borderId="65" xfId="2" applyNumberFormat="1" applyFont="1" applyFill="1" applyBorder="1" applyAlignment="1" applyProtection="1">
      <alignment vertical="center"/>
    </xf>
    <xf numFmtId="0" fontId="3" fillId="11" borderId="65" xfId="0" quotePrefix="1" applyFont="1" applyFill="1" applyBorder="1" applyAlignment="1" applyProtection="1">
      <alignment horizontal="right" vertical="center"/>
    </xf>
    <xf numFmtId="0" fontId="0" fillId="0" borderId="61" xfId="0" applyBorder="1" applyAlignment="1" applyProtection="1">
      <alignment vertical="center"/>
    </xf>
    <xf numFmtId="0" fontId="0" fillId="0" borderId="46" xfId="0" applyBorder="1" applyAlignment="1" applyProtection="1">
      <alignment vertical="center"/>
    </xf>
    <xf numFmtId="0" fontId="36" fillId="10" borderId="9" xfId="0" applyFont="1" applyFill="1" applyBorder="1" applyAlignment="1" applyProtection="1">
      <alignment vertical="center"/>
    </xf>
    <xf numFmtId="0" fontId="36" fillId="10" borderId="10" xfId="0" applyFont="1" applyFill="1" applyBorder="1" applyAlignment="1" applyProtection="1">
      <alignment vertical="center"/>
    </xf>
    <xf numFmtId="0" fontId="36" fillId="5" borderId="9" xfId="0" applyFont="1" applyFill="1" applyBorder="1" applyAlignment="1" applyProtection="1">
      <alignment vertical="center"/>
    </xf>
    <xf numFmtId="0" fontId="36" fillId="5" borderId="10" xfId="0" applyFont="1" applyFill="1" applyBorder="1" applyAlignment="1" applyProtection="1">
      <alignment vertical="center"/>
    </xf>
    <xf numFmtId="0" fontId="36" fillId="2" borderId="9" xfId="0" applyFont="1" applyFill="1" applyBorder="1" applyAlignment="1" applyProtection="1">
      <alignment vertical="center"/>
    </xf>
    <xf numFmtId="0" fontId="36" fillId="2" borderId="10" xfId="0" applyFont="1" applyFill="1" applyBorder="1" applyAlignment="1" applyProtection="1">
      <alignment vertical="center"/>
    </xf>
    <xf numFmtId="0" fontId="36" fillId="6" borderId="9" xfId="0" applyFont="1" applyFill="1" applyBorder="1" applyAlignment="1" applyProtection="1">
      <alignment vertical="center"/>
    </xf>
    <xf numFmtId="0" fontId="36" fillId="6" borderId="10" xfId="0" applyFont="1" applyFill="1" applyBorder="1" applyAlignment="1" applyProtection="1">
      <alignment vertical="center"/>
    </xf>
    <xf numFmtId="0" fontId="36" fillId="7" borderId="9" xfId="0" applyFont="1" applyFill="1" applyBorder="1" applyAlignment="1" applyProtection="1">
      <alignment vertical="center"/>
    </xf>
    <xf numFmtId="0" fontId="31" fillId="7" borderId="10" xfId="0" applyFont="1" applyFill="1" applyBorder="1" applyAlignment="1" applyProtection="1">
      <alignment vertical="center"/>
    </xf>
    <xf numFmtId="165" fontId="31" fillId="3" borderId="6" xfId="0" applyNumberFormat="1" applyFont="1" applyFill="1" applyBorder="1" applyAlignment="1" applyProtection="1">
      <alignment vertical="center"/>
    </xf>
    <xf numFmtId="165" fontId="31" fillId="3" borderId="8" xfId="0" applyNumberFormat="1" applyFont="1" applyFill="1" applyBorder="1" applyAlignment="1" applyProtection="1">
      <alignment vertical="center"/>
    </xf>
    <xf numFmtId="0" fontId="31" fillId="0" borderId="0" xfId="0" applyFont="1" applyAlignment="1" applyProtection="1">
      <alignment horizontal="right" vertical="center"/>
    </xf>
    <xf numFmtId="0" fontId="5" fillId="0" borderId="0" xfId="0" applyFont="1" applyAlignment="1">
      <alignment vertical="center"/>
    </xf>
    <xf numFmtId="10" fontId="3" fillId="8" borderId="1" xfId="3" applyNumberFormat="1" applyFont="1" applyFill="1" applyBorder="1" applyAlignment="1" applyProtection="1">
      <alignment horizontal="center" vertical="center"/>
      <protection locked="0"/>
    </xf>
    <xf numFmtId="165" fontId="0" fillId="3" borderId="45" xfId="2" applyNumberFormat="1" applyFont="1" applyFill="1" applyBorder="1" applyAlignment="1" applyProtection="1">
      <alignment vertical="center"/>
    </xf>
    <xf numFmtId="165" fontId="3" fillId="8" borderId="1" xfId="2" applyNumberFormat="1" applyFont="1" applyFill="1" applyBorder="1" applyAlignment="1" applyProtection="1">
      <alignment vertical="center"/>
      <protection locked="0"/>
    </xf>
    <xf numFmtId="44" fontId="0" fillId="3" borderId="24" xfId="0" applyNumberFormat="1" applyFill="1" applyBorder="1" applyAlignment="1" applyProtection="1">
      <alignment vertical="center"/>
    </xf>
    <xf numFmtId="0" fontId="9" fillId="0" borderId="0" xfId="0" applyFont="1" applyAlignment="1">
      <alignment vertical="center"/>
    </xf>
    <xf numFmtId="0" fontId="9" fillId="0" borderId="0" xfId="0" applyFont="1" applyAlignment="1">
      <alignment horizontal="right" vertical="center"/>
    </xf>
    <xf numFmtId="0" fontId="37" fillId="0" borderId="0" xfId="0" applyFont="1" applyAlignment="1">
      <alignment vertical="center"/>
    </xf>
    <xf numFmtId="0" fontId="7" fillId="0" borderId="0" xfId="0" applyFont="1" applyAlignment="1">
      <alignment vertical="center"/>
    </xf>
    <xf numFmtId="43" fontId="23" fillId="8" borderId="1" xfId="1" applyFont="1" applyFill="1" applyBorder="1" applyAlignment="1" applyProtection="1">
      <alignment vertical="center"/>
    </xf>
    <xf numFmtId="0" fontId="9" fillId="0" borderId="0" xfId="0" applyFont="1" applyAlignment="1" applyProtection="1">
      <alignment horizontal="right" vertical="center"/>
    </xf>
    <xf numFmtId="169" fontId="23" fillId="8" borderId="1" xfId="3" applyNumberFormat="1" applyFont="1" applyFill="1" applyBorder="1" applyAlignment="1" applyProtection="1">
      <alignment vertical="center"/>
    </xf>
    <xf numFmtId="0" fontId="26" fillId="10" borderId="1" xfId="0" applyFont="1" applyFill="1" applyBorder="1" applyAlignment="1" applyProtection="1">
      <alignment horizontal="center" vertical="center"/>
    </xf>
    <xf numFmtId="44" fontId="7" fillId="5" borderId="1" xfId="0" applyNumberFormat="1"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6" borderId="1" xfId="0" applyFont="1" applyFill="1" applyBorder="1" applyAlignment="1" applyProtection="1">
      <alignment horizontal="center" vertical="center"/>
    </xf>
    <xf numFmtId="0" fontId="26" fillId="7" borderId="1" xfId="0" applyFont="1" applyFill="1" applyBorder="1" applyAlignment="1" applyProtection="1">
      <alignment horizontal="center" vertical="center"/>
    </xf>
    <xf numFmtId="165" fontId="9" fillId="10" borderId="1" xfId="0" applyNumberFormat="1" applyFont="1" applyFill="1" applyBorder="1" applyAlignment="1" applyProtection="1">
      <alignment vertical="center"/>
    </xf>
    <xf numFmtId="44" fontId="9" fillId="10" borderId="1" xfId="0" applyNumberFormat="1" applyFont="1" applyFill="1" applyBorder="1" applyAlignment="1" applyProtection="1">
      <alignment horizontal="center" vertical="center"/>
    </xf>
    <xf numFmtId="165" fontId="9" fillId="5" borderId="1" xfId="0" applyNumberFormat="1" applyFont="1" applyFill="1" applyBorder="1" applyAlignment="1" applyProtection="1">
      <alignment vertical="center"/>
    </xf>
    <xf numFmtId="44" fontId="9" fillId="5" borderId="1" xfId="0" applyNumberFormat="1" applyFont="1" applyFill="1" applyBorder="1" applyAlignment="1" applyProtection="1">
      <alignment horizontal="center" vertical="center"/>
    </xf>
    <xf numFmtId="165" fontId="9" fillId="2" borderId="1" xfId="0" applyNumberFormat="1" applyFont="1" applyFill="1" applyBorder="1" applyAlignment="1" applyProtection="1">
      <alignment vertical="center"/>
    </xf>
    <xf numFmtId="44" fontId="9" fillId="2" borderId="1" xfId="0" applyNumberFormat="1" applyFont="1" applyFill="1" applyBorder="1" applyAlignment="1" applyProtection="1">
      <alignment horizontal="center" vertical="center"/>
    </xf>
    <xf numFmtId="165" fontId="23" fillId="6" borderId="1" xfId="0" applyNumberFormat="1" applyFont="1" applyFill="1" applyBorder="1" applyAlignment="1" applyProtection="1">
      <alignment vertical="center"/>
    </xf>
    <xf numFmtId="44" fontId="23" fillId="6" borderId="1" xfId="0" applyNumberFormat="1" applyFont="1" applyFill="1" applyBorder="1" applyAlignment="1" applyProtection="1">
      <alignment horizontal="center" vertical="center"/>
    </xf>
    <xf numFmtId="165" fontId="9" fillId="7" borderId="1" xfId="0" applyNumberFormat="1" applyFont="1" applyFill="1" applyBorder="1" applyAlignment="1" applyProtection="1">
      <alignment vertical="center"/>
    </xf>
    <xf numFmtId="44" fontId="9" fillId="7" borderId="1" xfId="0" applyNumberFormat="1" applyFont="1" applyFill="1" applyBorder="1" applyAlignment="1" applyProtection="1">
      <alignment horizontal="center" vertical="center"/>
    </xf>
    <xf numFmtId="44" fontId="7" fillId="10" borderId="1" xfId="2" applyFont="1" applyFill="1" applyBorder="1" applyAlignment="1">
      <alignment horizontal="right" vertical="center"/>
    </xf>
    <xf numFmtId="44" fontId="7" fillId="5" borderId="1" xfId="2" applyFont="1" applyFill="1" applyBorder="1" applyAlignment="1">
      <alignment horizontal="right" vertical="center"/>
    </xf>
    <xf numFmtId="44" fontId="7" fillId="2" borderId="1" xfId="2" applyFont="1" applyFill="1" applyBorder="1" applyAlignment="1">
      <alignment horizontal="right" vertical="center"/>
    </xf>
    <xf numFmtId="44" fontId="7" fillId="6" borderId="1" xfId="2" applyFont="1" applyFill="1" applyBorder="1" applyAlignment="1">
      <alignment horizontal="right" vertical="center"/>
    </xf>
    <xf numFmtId="44" fontId="7" fillId="7" borderId="1" xfId="2" applyFont="1" applyFill="1" applyBorder="1" applyAlignment="1">
      <alignment horizontal="right" vertical="center"/>
    </xf>
    <xf numFmtId="44" fontId="7" fillId="2" borderId="70" xfId="2" applyFont="1" applyFill="1" applyBorder="1" applyAlignment="1">
      <alignment horizontal="right" vertical="center"/>
    </xf>
    <xf numFmtId="165" fontId="3" fillId="8" borderId="51" xfId="2" applyNumberFormat="1" applyFont="1" applyFill="1" applyBorder="1" applyAlignment="1" applyProtection="1">
      <alignment vertical="center"/>
    </xf>
    <xf numFmtId="164" fontId="3" fillId="8" borderId="47" xfId="0" applyNumberFormat="1" applyFont="1" applyFill="1" applyBorder="1" applyAlignment="1" applyProtection="1">
      <alignment vertical="center"/>
    </xf>
    <xf numFmtId="165" fontId="3" fillId="8" borderId="63" xfId="2" applyNumberFormat="1" applyFont="1" applyFill="1" applyBorder="1" applyAlignment="1" applyProtection="1">
      <alignment vertical="center"/>
    </xf>
    <xf numFmtId="164" fontId="3" fillId="8" borderId="54" xfId="0" applyNumberFormat="1" applyFont="1" applyFill="1" applyBorder="1" applyAlignment="1" applyProtection="1">
      <alignment vertical="center"/>
    </xf>
    <xf numFmtId="164" fontId="0" fillId="0" borderId="23" xfId="0" applyNumberFormat="1" applyBorder="1" applyAlignment="1" applyProtection="1">
      <alignment vertical="center"/>
    </xf>
    <xf numFmtId="0" fontId="38" fillId="0" borderId="0" xfId="0" applyFont="1" applyAlignment="1">
      <alignment horizontal="center" vertical="center"/>
    </xf>
    <xf numFmtId="0" fontId="38" fillId="0" borderId="0" xfId="0" applyFont="1" applyAlignment="1">
      <alignment horizontal="right" vertical="center"/>
    </xf>
    <xf numFmtId="43" fontId="23" fillId="8" borderId="1" xfId="1" applyFont="1" applyFill="1" applyBorder="1" applyAlignment="1" applyProtection="1">
      <alignment horizontal="center" vertical="center"/>
    </xf>
    <xf numFmtId="169" fontId="23" fillId="8" borderId="1" xfId="3" applyNumberFormat="1" applyFont="1" applyFill="1" applyBorder="1" applyAlignment="1" applyProtection="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5" fillId="10" borderId="40" xfId="0" applyNumberFormat="1" applyFont="1" applyFill="1" applyBorder="1" applyAlignment="1" applyProtection="1">
      <alignment horizontal="center" vertical="center"/>
    </xf>
    <xf numFmtId="0" fontId="5" fillId="10" borderId="42" xfId="0" applyNumberFormat="1" applyFont="1" applyFill="1" applyBorder="1" applyAlignment="1" applyProtection="1">
      <alignment horizontal="center" vertical="center"/>
    </xf>
    <xf numFmtId="0" fontId="5" fillId="5" borderId="40" xfId="0" applyNumberFormat="1" applyFont="1" applyFill="1" applyBorder="1" applyAlignment="1" applyProtection="1">
      <alignment horizontal="center" vertical="center"/>
    </xf>
    <xf numFmtId="0" fontId="5" fillId="5" borderId="42" xfId="0" applyNumberFormat="1" applyFont="1" applyFill="1" applyBorder="1" applyAlignment="1" applyProtection="1">
      <alignment horizontal="center" vertical="center"/>
    </xf>
    <xf numFmtId="0" fontId="5" fillId="2" borderId="40" xfId="0" applyNumberFormat="1" applyFont="1" applyFill="1" applyBorder="1" applyAlignment="1" applyProtection="1">
      <alignment horizontal="center" vertical="center"/>
    </xf>
    <xf numFmtId="0" fontId="5" fillId="2" borderId="42" xfId="0" applyNumberFormat="1" applyFont="1" applyFill="1" applyBorder="1" applyAlignment="1" applyProtection="1">
      <alignment horizontal="center" vertical="center"/>
    </xf>
    <xf numFmtId="0" fontId="5" fillId="6" borderId="40" xfId="0" applyNumberFormat="1" applyFont="1" applyFill="1" applyBorder="1" applyAlignment="1" applyProtection="1">
      <alignment horizontal="center" vertical="center"/>
    </xf>
    <xf numFmtId="0" fontId="5" fillId="6" borderId="42" xfId="0" applyNumberFormat="1" applyFont="1" applyFill="1" applyBorder="1" applyAlignment="1" applyProtection="1">
      <alignment horizontal="center" vertical="center"/>
    </xf>
    <xf numFmtId="0" fontId="5" fillId="7" borderId="40" xfId="0" applyNumberFormat="1" applyFont="1" applyFill="1" applyBorder="1" applyAlignment="1" applyProtection="1">
      <alignment horizontal="center" vertical="center"/>
    </xf>
    <xf numFmtId="0" fontId="5" fillId="7" borderId="42" xfId="0" applyNumberFormat="1" applyFont="1" applyFill="1" applyBorder="1" applyAlignment="1" applyProtection="1">
      <alignment horizontal="center" vertical="center"/>
    </xf>
    <xf numFmtId="0" fontId="29" fillId="13" borderId="35" xfId="4" applyFill="1" applyBorder="1" applyAlignment="1" applyProtection="1">
      <alignment horizontal="center" vertical="center" wrapText="1"/>
    </xf>
    <xf numFmtId="0" fontId="29" fillId="13" borderId="65" xfId="4" applyFill="1" applyBorder="1" applyAlignment="1" applyProtection="1">
      <alignment horizontal="center" vertical="center" wrapText="1"/>
    </xf>
    <xf numFmtId="0" fontId="30" fillId="0" borderId="0" xfId="0" applyFont="1" applyAlignment="1">
      <alignment horizontal="center" vertical="top" wrapText="1"/>
    </xf>
    <xf numFmtId="0" fontId="31" fillId="0" borderId="0" xfId="0" applyFont="1" applyAlignment="1">
      <alignment horizontal="center" vertical="top" wrapText="1"/>
    </xf>
    <xf numFmtId="0" fontId="0" fillId="0" borderId="14" xfId="0" applyBorder="1" applyAlignment="1">
      <alignment horizontal="center" vertical="center"/>
    </xf>
    <xf numFmtId="0" fontId="0" fillId="0" borderId="15" xfId="0" applyBorder="1" applyAlignment="1">
      <alignment horizontal="center" vertical="center"/>
    </xf>
    <xf numFmtId="0" fontId="29" fillId="13" borderId="14" xfId="4" applyFill="1" applyBorder="1" applyAlignment="1" applyProtection="1">
      <alignment horizontal="center" vertical="center"/>
    </xf>
    <xf numFmtId="0" fontId="29" fillId="13" borderId="16" xfId="4" applyFill="1" applyBorder="1" applyAlignment="1" applyProtection="1">
      <alignment horizontal="center" vertical="center"/>
    </xf>
    <xf numFmtId="0" fontId="29" fillId="13" borderId="15" xfId="4" applyFill="1" applyBorder="1" applyAlignment="1" applyProtection="1">
      <alignment horizontal="center" vertical="center"/>
    </xf>
    <xf numFmtId="0" fontId="28" fillId="0" borderId="0" xfId="0" applyFont="1" applyAlignment="1" applyProtection="1">
      <alignment horizontal="center" vertical="center" wrapText="1"/>
    </xf>
    <xf numFmtId="0" fontId="28" fillId="0" borderId="10" xfId="0" applyFont="1" applyBorder="1" applyAlignment="1" applyProtection="1">
      <alignment horizontal="center" vertical="center" wrapText="1"/>
    </xf>
    <xf numFmtId="0" fontId="0" fillId="0" borderId="0" xfId="0" applyBorder="1" applyAlignment="1" applyProtection="1">
      <alignment horizontal="right" vertical="center"/>
    </xf>
    <xf numFmtId="0" fontId="0" fillId="0" borderId="17" xfId="0" applyBorder="1" applyAlignment="1" applyProtection="1">
      <alignment horizontal="right" vertical="center"/>
    </xf>
    <xf numFmtId="0" fontId="29" fillId="13" borderId="2" xfId="4" applyFill="1" applyBorder="1" applyAlignment="1" applyProtection="1">
      <alignment horizontal="center" vertical="center" wrapText="1"/>
    </xf>
    <xf numFmtId="0" fontId="29" fillId="13" borderId="36" xfId="4" applyFill="1" applyBorder="1" applyAlignment="1" applyProtection="1">
      <alignment horizontal="center" vertical="center" wrapText="1"/>
    </xf>
    <xf numFmtId="0" fontId="29" fillId="13" borderId="3" xfId="4" applyFill="1" applyBorder="1" applyAlignment="1" applyProtection="1">
      <alignment horizontal="center" vertical="center" wrapText="1"/>
    </xf>
    <xf numFmtId="0" fontId="29" fillId="13" borderId="4" xfId="4" applyFill="1" applyBorder="1" applyAlignment="1" applyProtection="1">
      <alignment horizontal="center" vertical="center" wrapText="1"/>
    </xf>
    <xf numFmtId="0" fontId="29" fillId="13" borderId="18" xfId="4" applyFill="1" applyBorder="1" applyAlignment="1" applyProtection="1">
      <alignment horizontal="center" vertical="center" wrapText="1"/>
    </xf>
    <xf numFmtId="0" fontId="29" fillId="13" borderId="5" xfId="4" applyFill="1" applyBorder="1" applyAlignment="1" applyProtection="1">
      <alignment horizontal="center" vertical="center" wrapText="1"/>
    </xf>
    <xf numFmtId="165" fontId="3" fillId="8" borderId="40" xfId="2" applyNumberFormat="1" applyFont="1" applyFill="1" applyBorder="1" applyAlignment="1" applyProtection="1">
      <alignment horizontal="left" vertical="center"/>
    </xf>
    <xf numFmtId="165" fontId="3" fillId="8" borderId="41" xfId="2" applyNumberFormat="1" applyFont="1" applyFill="1" applyBorder="1" applyAlignment="1" applyProtection="1">
      <alignment horizontal="left" vertical="center"/>
    </xf>
    <xf numFmtId="165" fontId="3" fillId="8" borderId="55" xfId="2" applyNumberFormat="1" applyFont="1" applyFill="1" applyBorder="1" applyAlignment="1" applyProtection="1">
      <alignment horizontal="left" vertical="center"/>
    </xf>
    <xf numFmtId="165" fontId="3" fillId="8" borderId="29" xfId="2" applyNumberFormat="1" applyFont="1" applyFill="1" applyBorder="1" applyAlignment="1" applyProtection="1">
      <alignment horizontal="center" vertical="center"/>
    </xf>
    <xf numFmtId="165" fontId="3" fillId="8" borderId="16" xfId="2" applyNumberFormat="1" applyFont="1" applyFill="1" applyBorder="1" applyAlignment="1" applyProtection="1">
      <alignment horizontal="center" vertical="center"/>
    </xf>
    <xf numFmtId="165" fontId="3" fillId="8" borderId="31" xfId="2" applyNumberFormat="1" applyFont="1" applyFill="1" applyBorder="1" applyAlignment="1" applyProtection="1">
      <alignment horizontal="center" vertical="center"/>
    </xf>
    <xf numFmtId="165" fontId="3" fillId="8" borderId="32" xfId="2" applyNumberFormat="1" applyFont="1" applyFill="1" applyBorder="1" applyAlignment="1" applyProtection="1">
      <alignment horizontal="center" vertical="center"/>
    </xf>
    <xf numFmtId="165" fontId="3" fillId="8" borderId="31" xfId="2" applyNumberFormat="1" applyFont="1" applyFill="1" applyBorder="1" applyAlignment="1" applyProtection="1">
      <alignment horizontal="left" vertical="center"/>
    </xf>
    <xf numFmtId="165" fontId="3" fillId="8" borderId="32" xfId="2" applyNumberFormat="1" applyFont="1" applyFill="1" applyBorder="1" applyAlignment="1" applyProtection="1">
      <alignment horizontal="left" vertical="center"/>
    </xf>
    <xf numFmtId="165" fontId="3" fillId="8" borderId="46" xfId="2" applyNumberFormat="1" applyFont="1" applyFill="1" applyBorder="1" applyAlignment="1" applyProtection="1">
      <alignment horizontal="left" vertical="center"/>
    </xf>
    <xf numFmtId="165" fontId="3" fillId="8" borderId="27" xfId="2" applyNumberFormat="1" applyFont="1" applyFill="1" applyBorder="1" applyAlignment="1" applyProtection="1">
      <alignment horizontal="center" vertical="center"/>
    </xf>
    <xf numFmtId="165" fontId="3" fillId="8" borderId="28" xfId="2" applyNumberFormat="1" applyFont="1" applyFill="1" applyBorder="1" applyAlignment="1" applyProtection="1">
      <alignment horizontal="center" vertical="center"/>
    </xf>
    <xf numFmtId="0" fontId="3" fillId="8" borderId="14" xfId="0" applyFont="1" applyFill="1" applyBorder="1" applyAlignment="1" applyProtection="1">
      <alignment horizontal="center" vertical="center"/>
      <protection locked="0"/>
    </xf>
    <xf numFmtId="0" fontId="3" fillId="8" borderId="16" xfId="0" applyFont="1" applyFill="1" applyBorder="1" applyAlignment="1" applyProtection="1">
      <alignment horizontal="center" vertical="center"/>
      <protection locked="0"/>
    </xf>
    <xf numFmtId="0" fontId="3" fillId="8" borderId="15" xfId="0" applyFont="1" applyFill="1" applyBorder="1" applyAlignment="1" applyProtection="1">
      <alignment horizontal="center" vertical="center"/>
      <protection locked="0"/>
    </xf>
    <xf numFmtId="0" fontId="22" fillId="8" borderId="48" xfId="0" applyFont="1" applyFill="1" applyBorder="1" applyAlignment="1" applyProtection="1">
      <alignment horizontal="left" vertical="center"/>
      <protection locked="0"/>
    </xf>
    <xf numFmtId="0" fontId="22" fillId="8" borderId="50" xfId="0" applyFont="1" applyFill="1" applyBorder="1" applyAlignment="1" applyProtection="1">
      <alignment horizontal="left" vertical="center"/>
      <protection locked="0"/>
    </xf>
    <xf numFmtId="168" fontId="0" fillId="9" borderId="14" xfId="2" applyNumberFormat="1" applyFont="1" applyFill="1" applyBorder="1" applyAlignment="1" applyProtection="1">
      <alignment horizontal="center" vertical="center"/>
    </xf>
    <xf numFmtId="168" fontId="0" fillId="9" borderId="16" xfId="2" applyNumberFormat="1" applyFont="1" applyFill="1" applyBorder="1" applyAlignment="1" applyProtection="1">
      <alignment horizontal="center" vertical="center"/>
    </xf>
    <xf numFmtId="168" fontId="0" fillId="9" borderId="15" xfId="2" applyNumberFormat="1" applyFont="1" applyFill="1" applyBorder="1" applyAlignment="1" applyProtection="1">
      <alignment horizontal="center" vertical="center"/>
    </xf>
    <xf numFmtId="0" fontId="0" fillId="0" borderId="36" xfId="0" applyBorder="1" applyAlignment="1" applyProtection="1">
      <alignment vertical="center" wrapText="1"/>
    </xf>
    <xf numFmtId="0" fontId="0" fillId="0" borderId="0" xfId="0" applyAlignment="1" applyProtection="1">
      <alignment vertical="center" wrapText="1"/>
    </xf>
    <xf numFmtId="44" fontId="22" fillId="8" borderId="2" xfId="2" applyFont="1" applyFill="1" applyBorder="1" applyAlignment="1" applyProtection="1">
      <alignment horizontal="left" vertical="center"/>
      <protection locked="0"/>
    </xf>
    <xf numFmtId="44" fontId="22" fillId="8" borderId="16" xfId="2" applyFont="1" applyFill="1" applyBorder="1" applyAlignment="1" applyProtection="1">
      <alignment horizontal="left" vertical="center"/>
      <protection locked="0"/>
    </xf>
    <xf numFmtId="44" fontId="22" fillId="8" borderId="36" xfId="2" applyFont="1" applyFill="1" applyBorder="1" applyAlignment="1" applyProtection="1">
      <alignment horizontal="left" vertical="center"/>
      <protection locked="0"/>
    </xf>
    <xf numFmtId="44" fontId="22" fillId="8" borderId="3" xfId="2" applyFont="1" applyFill="1" applyBorder="1" applyAlignment="1" applyProtection="1">
      <alignment horizontal="left" vertical="center"/>
      <protection locked="0"/>
    </xf>
    <xf numFmtId="0" fontId="22" fillId="8" borderId="55" xfId="0" applyFont="1" applyFill="1" applyBorder="1" applyAlignment="1" applyProtection="1">
      <alignment horizontal="left" vertical="center"/>
      <protection locked="0"/>
    </xf>
    <xf numFmtId="0" fontId="22" fillId="8" borderId="40" xfId="0" applyFont="1" applyFill="1" applyBorder="1" applyAlignment="1" applyProtection="1">
      <alignment vertical="center"/>
      <protection locked="0"/>
    </xf>
    <xf numFmtId="0" fontId="22" fillId="8" borderId="42" xfId="0" applyFont="1" applyFill="1" applyBorder="1" applyAlignment="1" applyProtection="1">
      <alignment vertical="center"/>
      <protection locked="0"/>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29" fillId="13" borderId="34" xfId="4" applyFill="1" applyBorder="1" applyAlignment="1" applyProtection="1">
      <alignment horizontal="left" vertical="center"/>
    </xf>
    <xf numFmtId="0" fontId="29" fillId="13" borderId="0" xfId="4" applyFill="1" applyBorder="1" applyAlignment="1" applyProtection="1">
      <alignment horizontal="left" vertical="center"/>
    </xf>
    <xf numFmtId="0" fontId="29" fillId="13" borderId="17" xfId="4" applyFill="1" applyBorder="1" applyAlignment="1" applyProtection="1">
      <alignment horizontal="left" vertical="center"/>
    </xf>
    <xf numFmtId="165" fontId="3" fillId="8" borderId="19" xfId="2" applyNumberFormat="1" applyFont="1" applyFill="1" applyBorder="1" applyAlignment="1" applyProtection="1">
      <alignment horizontal="center" vertical="center"/>
      <protection locked="0"/>
    </xf>
    <xf numFmtId="165" fontId="3" fillId="8" borderId="20" xfId="2" applyNumberFormat="1" applyFont="1" applyFill="1" applyBorder="1" applyAlignment="1" applyProtection="1">
      <alignment horizontal="center" vertical="center"/>
      <protection locked="0"/>
    </xf>
    <xf numFmtId="165" fontId="3" fillId="8" borderId="21" xfId="2" applyNumberFormat="1" applyFont="1" applyFill="1" applyBorder="1" applyAlignment="1" applyProtection="1">
      <alignment horizontal="center" vertical="center"/>
      <protection locked="0"/>
    </xf>
    <xf numFmtId="165" fontId="3" fillId="8" borderId="22" xfId="2" applyNumberFormat="1" applyFont="1" applyFill="1" applyBorder="1" applyAlignment="1" applyProtection="1">
      <alignment horizontal="center" vertical="center"/>
      <protection locked="0"/>
    </xf>
    <xf numFmtId="165" fontId="3" fillId="8" borderId="1" xfId="2" applyNumberFormat="1" applyFont="1" applyFill="1" applyBorder="1" applyAlignment="1" applyProtection="1">
      <alignment horizontal="center" vertical="center"/>
      <protection locked="0"/>
    </xf>
    <xf numFmtId="165" fontId="3" fillId="8" borderId="23" xfId="2" applyNumberFormat="1" applyFont="1" applyFill="1" applyBorder="1" applyAlignment="1" applyProtection="1">
      <alignment horizontal="center" vertical="center"/>
      <protection locked="0"/>
    </xf>
    <xf numFmtId="165" fontId="3" fillId="8" borderId="24" xfId="2" applyNumberFormat="1" applyFont="1" applyFill="1" applyBorder="1" applyAlignment="1" applyProtection="1">
      <alignment horizontal="center" vertical="center"/>
      <protection locked="0"/>
    </xf>
    <xf numFmtId="165" fontId="3" fillId="8" borderId="25" xfId="2" applyNumberFormat="1" applyFont="1" applyFill="1" applyBorder="1" applyAlignment="1" applyProtection="1">
      <alignment horizontal="center" vertical="center"/>
      <protection locked="0"/>
    </xf>
    <xf numFmtId="165" fontId="3" fillId="8" borderId="26" xfId="2" applyNumberFormat="1" applyFont="1" applyFill="1" applyBorder="1" applyAlignment="1" applyProtection="1">
      <alignment horizontal="center" vertical="center"/>
      <protection locked="0"/>
    </xf>
    <xf numFmtId="44" fontId="22" fillId="8" borderId="15" xfId="2" applyFont="1" applyFill="1" applyBorder="1" applyAlignment="1" applyProtection="1">
      <alignment horizontal="left" vertical="center"/>
      <protection locked="0"/>
    </xf>
    <xf numFmtId="165" fontId="3" fillId="8" borderId="27" xfId="2" applyNumberFormat="1" applyFont="1" applyFill="1" applyBorder="1" applyAlignment="1" applyProtection="1">
      <alignment horizontal="center" vertical="center"/>
      <protection locked="0"/>
    </xf>
    <xf numFmtId="165" fontId="3" fillId="8" borderId="28" xfId="2" applyNumberFormat="1" applyFont="1" applyFill="1" applyBorder="1" applyAlignment="1" applyProtection="1">
      <alignment horizontal="center" vertical="center"/>
      <protection locked="0"/>
    </xf>
    <xf numFmtId="0" fontId="29" fillId="13" borderId="4" xfId="4" applyFill="1" applyBorder="1" applyAlignment="1" applyProtection="1">
      <alignment horizontal="left" vertical="center"/>
    </xf>
    <xf numFmtId="0" fontId="29" fillId="13" borderId="18" xfId="4" applyFill="1" applyBorder="1" applyAlignment="1" applyProtection="1">
      <alignment horizontal="left" vertical="center"/>
    </xf>
    <xf numFmtId="0" fontId="29" fillId="13" borderId="5" xfId="4" applyFill="1" applyBorder="1" applyAlignment="1" applyProtection="1">
      <alignment horizontal="left" vertical="center"/>
    </xf>
    <xf numFmtId="165" fontId="3" fillId="8" borderId="40" xfId="2" applyNumberFormat="1" applyFont="1" applyFill="1" applyBorder="1" applyAlignment="1" applyProtection="1">
      <alignment horizontal="left" vertical="center"/>
      <protection locked="0"/>
    </xf>
    <xf numFmtId="165" fontId="3" fillId="8" borderId="41" xfId="2" applyNumberFormat="1" applyFont="1" applyFill="1" applyBorder="1" applyAlignment="1" applyProtection="1">
      <alignment horizontal="left" vertical="center"/>
      <protection locked="0"/>
    </xf>
    <xf numFmtId="165" fontId="3" fillId="8" borderId="55" xfId="2" applyNumberFormat="1" applyFont="1" applyFill="1" applyBorder="1" applyAlignment="1" applyProtection="1">
      <alignment horizontal="left" vertical="center"/>
      <protection locked="0"/>
    </xf>
    <xf numFmtId="165" fontId="3" fillId="8" borderId="31" xfId="2" applyNumberFormat="1" applyFont="1" applyFill="1" applyBorder="1" applyAlignment="1" applyProtection="1">
      <alignment horizontal="left" vertical="center"/>
      <protection locked="0"/>
    </xf>
    <xf numFmtId="165" fontId="3" fillId="8" borderId="32" xfId="2" applyNumberFormat="1" applyFont="1" applyFill="1" applyBorder="1" applyAlignment="1" applyProtection="1">
      <alignment horizontal="left" vertical="center"/>
      <protection locked="0"/>
    </xf>
    <xf numFmtId="165" fontId="3" fillId="8" borderId="46" xfId="2" applyNumberFormat="1" applyFont="1" applyFill="1" applyBorder="1" applyAlignment="1" applyProtection="1">
      <alignment horizontal="left" vertical="center"/>
      <protection locked="0"/>
    </xf>
    <xf numFmtId="0" fontId="22" fillId="8" borderId="48" xfId="0" applyFont="1" applyFill="1" applyBorder="1" applyAlignment="1" applyProtection="1">
      <alignment horizontal="center" vertical="center"/>
      <protection locked="0"/>
    </xf>
    <xf numFmtId="0" fontId="22" fillId="8" borderId="50" xfId="0" applyFont="1" applyFill="1" applyBorder="1" applyAlignment="1" applyProtection="1">
      <alignment horizontal="center" vertical="center"/>
      <protection locked="0"/>
    </xf>
    <xf numFmtId="0" fontId="22" fillId="8" borderId="55" xfId="0" applyFont="1" applyFill="1" applyBorder="1" applyAlignment="1" applyProtection="1">
      <alignment horizontal="center" vertical="center"/>
      <protection locked="0"/>
    </xf>
    <xf numFmtId="0" fontId="22" fillId="8" borderId="40" xfId="0" applyFont="1" applyFill="1" applyBorder="1" applyAlignment="1" applyProtection="1">
      <alignment horizontal="center" vertical="center"/>
      <protection locked="0"/>
    </xf>
    <xf numFmtId="0" fontId="22" fillId="8" borderId="42" xfId="0" applyFont="1" applyFill="1" applyBorder="1" applyAlignment="1" applyProtection="1">
      <alignment horizontal="center" vertical="center"/>
      <protection locked="0"/>
    </xf>
    <xf numFmtId="43" fontId="23" fillId="8" borderId="1" xfId="1" applyFont="1" applyFill="1" applyBorder="1" applyAlignment="1" applyProtection="1">
      <alignment vertical="center"/>
      <protection locked="0"/>
    </xf>
    <xf numFmtId="169" fontId="23" fillId="8" borderId="1" xfId="3" applyNumberFormat="1" applyFont="1" applyFill="1" applyBorder="1" applyAlignment="1" applyProtection="1">
      <alignment vertical="center"/>
      <protection locked="0"/>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CCECFF"/>
      <color rgb="FFFF99FF"/>
      <color rgb="FFFFCC99"/>
      <color rgb="FFFFFF99"/>
      <color rgb="FF00FF00"/>
      <color rgb="FFFFCCCC"/>
      <color rgb="FFFFFFCC"/>
      <color rgb="FFCCFFCC"/>
      <color rgb="FF99FF99"/>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List" dx="20" fmlaLink="$AE$90:$AE$90" fmlaRange="$AA$90:$AA$93" sel="2" val="0"/>
</file>

<file path=xl/ctrlProps/ctrlProp10.xml><?xml version="1.0" encoding="utf-8"?>
<formControlPr xmlns="http://schemas.microsoft.com/office/spreadsheetml/2009/9/main" objectType="CheckBox" checked="Checked" fmlaLink="$AA$54" lockText="1"/>
</file>

<file path=xl/ctrlProps/ctrlProp11.xml><?xml version="1.0" encoding="utf-8"?>
<formControlPr xmlns="http://schemas.microsoft.com/office/spreadsheetml/2009/9/main" objectType="List" dx="20" fmlaLink="$AE$90:$AE$90" fmlaRange="$AA$90:$AA$93" sel="2" val="0"/>
</file>

<file path=xl/ctrlProps/ctrlProp12.xml><?xml version="1.0" encoding="utf-8"?>
<formControlPr xmlns="http://schemas.microsoft.com/office/spreadsheetml/2009/9/main" objectType="CheckBox" checked="Checked" fmlaLink="$AA$95" lockText="1"/>
</file>

<file path=xl/ctrlProps/ctrlProp13.xml><?xml version="1.0" encoding="utf-8"?>
<formControlPr xmlns="http://schemas.microsoft.com/office/spreadsheetml/2009/9/main" objectType="CheckBox" checked="Checked" fmlaLink="$AA$96" lockText="1"/>
</file>

<file path=xl/ctrlProps/ctrlProp14.xml><?xml version="1.0" encoding="utf-8"?>
<formControlPr xmlns="http://schemas.microsoft.com/office/spreadsheetml/2009/9/main" objectType="CheckBox" checked="Checked" fmlaLink="$AA$97" lockText="1"/>
</file>

<file path=xl/ctrlProps/ctrlProp15.xml><?xml version="1.0" encoding="utf-8"?>
<formControlPr xmlns="http://schemas.microsoft.com/office/spreadsheetml/2009/9/main" objectType="CheckBox" checked="Checked" fmlaLink="$AA$54" lockText="1"/>
</file>

<file path=xl/ctrlProps/ctrlProp16.xml><?xml version="1.0" encoding="utf-8"?>
<formControlPr xmlns="http://schemas.microsoft.com/office/spreadsheetml/2009/9/main" objectType="List" dx="20" fmlaLink="$AE$90:$AE$90" fmlaRange="$AA$90:$AA$93" sel="2" val="0"/>
</file>

<file path=xl/ctrlProps/ctrlProp17.xml><?xml version="1.0" encoding="utf-8"?>
<formControlPr xmlns="http://schemas.microsoft.com/office/spreadsheetml/2009/9/main" objectType="CheckBox" checked="Checked" fmlaLink="$AA$95" lockText="1"/>
</file>

<file path=xl/ctrlProps/ctrlProp18.xml><?xml version="1.0" encoding="utf-8"?>
<formControlPr xmlns="http://schemas.microsoft.com/office/spreadsheetml/2009/9/main" objectType="CheckBox" checked="Checked" fmlaLink="$AA$96" lockText="1"/>
</file>

<file path=xl/ctrlProps/ctrlProp19.xml><?xml version="1.0" encoding="utf-8"?>
<formControlPr xmlns="http://schemas.microsoft.com/office/spreadsheetml/2009/9/main" objectType="CheckBox" checked="Checked" fmlaLink="$AA$97" lockText="1"/>
</file>

<file path=xl/ctrlProps/ctrlProp2.xml><?xml version="1.0" encoding="utf-8"?>
<formControlPr xmlns="http://schemas.microsoft.com/office/spreadsheetml/2009/9/main" objectType="CheckBox" checked="Checked" fmlaLink="$AA$95" lockText="1"/>
</file>

<file path=xl/ctrlProps/ctrlProp20.xml><?xml version="1.0" encoding="utf-8"?>
<formControlPr xmlns="http://schemas.microsoft.com/office/spreadsheetml/2009/9/main" objectType="CheckBox" checked="Checked" fmlaLink="$AA$54" lockText="1"/>
</file>

<file path=xl/ctrlProps/ctrlProp3.xml><?xml version="1.0" encoding="utf-8"?>
<formControlPr xmlns="http://schemas.microsoft.com/office/spreadsheetml/2009/9/main" objectType="CheckBox" checked="Checked" fmlaLink="$AA$96" lockText="1"/>
</file>

<file path=xl/ctrlProps/ctrlProp4.xml><?xml version="1.0" encoding="utf-8"?>
<formControlPr xmlns="http://schemas.microsoft.com/office/spreadsheetml/2009/9/main" objectType="CheckBox" checked="Checked" fmlaLink="$AA$97" lockText="1"/>
</file>

<file path=xl/ctrlProps/ctrlProp5.xml><?xml version="1.0" encoding="utf-8"?>
<formControlPr xmlns="http://schemas.microsoft.com/office/spreadsheetml/2009/9/main" objectType="CheckBox" checked="Checked" fmlaLink="$AA$54" lockText="1"/>
</file>

<file path=xl/ctrlProps/ctrlProp6.xml><?xml version="1.0" encoding="utf-8"?>
<formControlPr xmlns="http://schemas.microsoft.com/office/spreadsheetml/2009/9/main" objectType="List" dx="20" fmlaLink="$AE$90:$AE$90" fmlaRange="$AA$90:$AA$93" sel="2" val="0"/>
</file>

<file path=xl/ctrlProps/ctrlProp7.xml><?xml version="1.0" encoding="utf-8"?>
<formControlPr xmlns="http://schemas.microsoft.com/office/spreadsheetml/2009/9/main" objectType="CheckBox" checked="Checked" fmlaLink="$AA$95" lockText="1"/>
</file>

<file path=xl/ctrlProps/ctrlProp8.xml><?xml version="1.0" encoding="utf-8"?>
<formControlPr xmlns="http://schemas.microsoft.com/office/spreadsheetml/2009/9/main" objectType="CheckBox" checked="Checked" fmlaLink="$AA$96" lockText="1"/>
</file>

<file path=xl/ctrlProps/ctrlProp9.xml><?xml version="1.0" encoding="utf-8"?>
<formControlPr xmlns="http://schemas.microsoft.com/office/spreadsheetml/2009/9/main" objectType="CheckBox" checked="Checked" fmlaLink="$AA$97" lockText="1"/>
</file>

<file path=xl/drawings/_rels/drawing2.xml.rels><?xml version="1.0" encoding="UTF-8" standalone="yes"?>
<Relationships xmlns="http://schemas.openxmlformats.org/package/2006/relationships"><Relationship Id="rId3" Type="http://schemas.openxmlformats.org/officeDocument/2006/relationships/image" Target="cid:image001.gif@01D09F7C.96A60C50" TargetMode="External"/><Relationship Id="rId2" Type="http://schemas.openxmlformats.org/officeDocument/2006/relationships/image" Target="../media/image3.gif"/><Relationship Id="rId1" Type="http://schemas.openxmlformats.org/officeDocument/2006/relationships/image" Target="../media/image2.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cid:image001.gif@01D09F7C.96A60C50" TargetMode="External"/><Relationship Id="rId2" Type="http://schemas.openxmlformats.org/officeDocument/2006/relationships/image" Target="../media/image3.gif"/><Relationship Id="rId1" Type="http://schemas.openxmlformats.org/officeDocument/2006/relationships/image" Target="../media/image2.png"/><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cid:image001.gif@01D09F7C.96A60C50" TargetMode="External"/><Relationship Id="rId2" Type="http://schemas.openxmlformats.org/officeDocument/2006/relationships/image" Target="../media/image3.gif"/><Relationship Id="rId1" Type="http://schemas.openxmlformats.org/officeDocument/2006/relationships/image" Target="../media/image2.png"/><Relationship Id="rId4"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cid:image001.gif@01D09F7C.96A60C50" TargetMode="External"/><Relationship Id="rId2" Type="http://schemas.openxmlformats.org/officeDocument/2006/relationships/image" Target="../media/image3.gif"/><Relationship Id="rId1" Type="http://schemas.openxmlformats.org/officeDocument/2006/relationships/image" Target="../media/image2.pn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xdr:row>
          <xdr:rowOff>76200</xdr:rowOff>
        </xdr:from>
        <xdr:to>
          <xdr:col>16</xdr:col>
          <xdr:colOff>152400</xdr:colOff>
          <xdr:row>52</xdr:row>
          <xdr:rowOff>30480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264159</xdr:colOff>
      <xdr:row>0</xdr:row>
      <xdr:rowOff>0</xdr:rowOff>
    </xdr:from>
    <xdr:to>
      <xdr:col>10</xdr:col>
      <xdr:colOff>853440</xdr:colOff>
      <xdr:row>4</xdr:row>
      <xdr:rowOff>9692</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6159" y="0"/>
          <a:ext cx="3606801" cy="6040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7620</xdr:colOff>
          <xdr:row>88</xdr:row>
          <xdr:rowOff>0</xdr:rowOff>
        </xdr:from>
        <xdr:to>
          <xdr:col>14</xdr:col>
          <xdr:colOff>0</xdr:colOff>
          <xdr:row>91</xdr:row>
          <xdr:rowOff>7620</xdr:rowOff>
        </xdr:to>
        <xdr:sp macro="" textlink="">
          <xdr:nvSpPr>
            <xdr:cNvPr id="15361" name="List Box 1" hidden="1">
              <a:extLst>
                <a:ext uri="{63B3BB69-23CF-44E3-9099-C40C66FF867C}">
                  <a14:compatExt spid="_x0000_s153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94</xdr:row>
          <xdr:rowOff>0</xdr:rowOff>
        </xdr:from>
        <xdr:to>
          <xdr:col>5</xdr:col>
          <xdr:colOff>0</xdr:colOff>
          <xdr:row>95</xdr:row>
          <xdr:rowOff>7620</xdr:rowOff>
        </xdr:to>
        <xdr:sp macro="" textlink="">
          <xdr:nvSpPr>
            <xdr:cNvPr id="15362" name="Check Box 2" hidden="1">
              <a:extLst>
                <a:ext uri="{63B3BB69-23CF-44E3-9099-C40C66FF867C}">
                  <a14:compatExt spid="_x0000_s153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95</xdr:row>
          <xdr:rowOff>0</xdr:rowOff>
        </xdr:from>
        <xdr:to>
          <xdr:col>4</xdr:col>
          <xdr:colOff>617220</xdr:colOff>
          <xdr:row>96</xdr:row>
          <xdr:rowOff>7620</xdr:rowOff>
        </xdr:to>
        <xdr:sp macro="" textlink="">
          <xdr:nvSpPr>
            <xdr:cNvPr id="15363" name="Check Box 3" hidden="1">
              <a:extLst>
                <a:ext uri="{63B3BB69-23CF-44E3-9099-C40C66FF867C}">
                  <a14:compatExt spid="_x0000_s153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96</xdr:row>
          <xdr:rowOff>22860</xdr:rowOff>
        </xdr:from>
        <xdr:to>
          <xdr:col>4</xdr:col>
          <xdr:colOff>617220</xdr:colOff>
          <xdr:row>97</xdr:row>
          <xdr:rowOff>30480</xdr:rowOff>
        </xdr:to>
        <xdr:sp macro="" textlink="">
          <xdr:nvSpPr>
            <xdr:cNvPr id="15364" name="Check Box 4" hidden="1">
              <a:extLst>
                <a:ext uri="{63B3BB69-23CF-44E3-9099-C40C66FF867C}">
                  <a14:compatExt spid="_x0000_s153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50</xdr:row>
          <xdr:rowOff>38100</xdr:rowOff>
        </xdr:from>
        <xdr:to>
          <xdr:col>10</xdr:col>
          <xdr:colOff>7620</xdr:colOff>
          <xdr:row>51</xdr:row>
          <xdr:rowOff>129540</xdr:rowOff>
        </xdr:to>
        <xdr:sp macro="" textlink="">
          <xdr:nvSpPr>
            <xdr:cNvPr id="15365" name="Check Box 5" hidden="1">
              <a:extLst>
                <a:ext uri="{63B3BB69-23CF-44E3-9099-C40C66FF867C}">
                  <a14:compatExt spid="_x0000_s153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Use Farm Cost Per Pound of Feed</a:t>
              </a:r>
            </a:p>
          </xdr:txBody>
        </xdr:sp>
        <xdr:clientData fLocksWithSheet="0"/>
      </xdr:twoCellAnchor>
    </mc:Choice>
    <mc:Fallback/>
  </mc:AlternateContent>
  <xdr:twoCellAnchor>
    <xdr:from>
      <xdr:col>14</xdr:col>
      <xdr:colOff>15240</xdr:colOff>
      <xdr:row>1</xdr:row>
      <xdr:rowOff>7620</xdr:rowOff>
    </xdr:from>
    <xdr:to>
      <xdr:col>18</xdr:col>
      <xdr:colOff>426721</xdr:colOff>
      <xdr:row>7</xdr:row>
      <xdr:rowOff>2022</xdr:rowOff>
    </xdr:to>
    <xdr:pic>
      <xdr:nvPicPr>
        <xdr:cNvPr id="9" name="Picture 1" descr="color3"/>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5996940" y="7620"/>
          <a:ext cx="2819401" cy="11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7620</xdr:colOff>
      <xdr:row>7</xdr:row>
      <xdr:rowOff>318</xdr:rowOff>
    </xdr:from>
    <xdr:to>
      <xdr:col>18</xdr:col>
      <xdr:colOff>335279</xdr:colOff>
      <xdr:row>15</xdr:row>
      <xdr:rowOff>12723</xdr:rowOff>
    </xdr:to>
    <xdr:pic>
      <xdr:nvPicPr>
        <xdr:cNvPr id="2"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93280" y="1143318"/>
          <a:ext cx="1531619" cy="1475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264159</xdr:colOff>
      <xdr:row>1</xdr:row>
      <xdr:rowOff>0</xdr:rowOff>
    </xdr:from>
    <xdr:to>
      <xdr:col>10</xdr:col>
      <xdr:colOff>853440</xdr:colOff>
      <xdr:row>4</xdr:row>
      <xdr:rowOff>4612</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6159" y="76200"/>
          <a:ext cx="3606801" cy="5989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7620</xdr:colOff>
          <xdr:row>88</xdr:row>
          <xdr:rowOff>0</xdr:rowOff>
        </xdr:from>
        <xdr:to>
          <xdr:col>14</xdr:col>
          <xdr:colOff>0</xdr:colOff>
          <xdr:row>91</xdr:row>
          <xdr:rowOff>7620</xdr:rowOff>
        </xdr:to>
        <xdr:sp macro="" textlink="">
          <xdr:nvSpPr>
            <xdr:cNvPr id="5122" name="List Box 2" hidden="1">
              <a:extLst>
                <a:ext uri="{63B3BB69-23CF-44E3-9099-C40C66FF867C}">
                  <a14:compatExt spid="_x0000_s5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94</xdr:row>
          <xdr:rowOff>0</xdr:rowOff>
        </xdr:from>
        <xdr:to>
          <xdr:col>5</xdr:col>
          <xdr:colOff>15240</xdr:colOff>
          <xdr:row>95</xdr:row>
          <xdr:rowOff>7620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95</xdr:row>
          <xdr:rowOff>0</xdr:rowOff>
        </xdr:from>
        <xdr:to>
          <xdr:col>5</xdr:col>
          <xdr:colOff>7620</xdr:colOff>
          <xdr:row>96</xdr:row>
          <xdr:rowOff>7620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96</xdr:row>
          <xdr:rowOff>22860</xdr:rowOff>
        </xdr:from>
        <xdr:to>
          <xdr:col>5</xdr:col>
          <xdr:colOff>7620</xdr:colOff>
          <xdr:row>97</xdr:row>
          <xdr:rowOff>30480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50</xdr:row>
          <xdr:rowOff>38100</xdr:rowOff>
        </xdr:from>
        <xdr:to>
          <xdr:col>10</xdr:col>
          <xdr:colOff>7620</xdr:colOff>
          <xdr:row>51</xdr:row>
          <xdr:rowOff>129540</xdr:rowOff>
        </xdr:to>
        <xdr:sp macro="" textlink="">
          <xdr:nvSpPr>
            <xdr:cNvPr id="5298" name="Check Box 178" hidden="1">
              <a:extLst>
                <a:ext uri="{63B3BB69-23CF-44E3-9099-C40C66FF867C}">
                  <a14:compatExt spid="_x0000_s52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Use Farm Cost Per Pound of Feed</a:t>
              </a:r>
            </a:p>
          </xdr:txBody>
        </xdr:sp>
        <xdr:clientData fLocksWithSheet="0"/>
      </xdr:twoCellAnchor>
    </mc:Choice>
    <mc:Fallback/>
  </mc:AlternateContent>
  <xdr:twoCellAnchor>
    <xdr:from>
      <xdr:col>14</xdr:col>
      <xdr:colOff>22860</xdr:colOff>
      <xdr:row>0</xdr:row>
      <xdr:rowOff>0</xdr:rowOff>
    </xdr:from>
    <xdr:to>
      <xdr:col>18</xdr:col>
      <xdr:colOff>434341</xdr:colOff>
      <xdr:row>6</xdr:row>
      <xdr:rowOff>177282</xdr:rowOff>
    </xdr:to>
    <xdr:pic>
      <xdr:nvPicPr>
        <xdr:cNvPr id="9" name="Picture 1" descr="color3"/>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6004560" y="0"/>
          <a:ext cx="2819401" cy="11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7620</xdr:colOff>
      <xdr:row>6</xdr:row>
      <xdr:rowOff>178461</xdr:rowOff>
    </xdr:from>
    <xdr:to>
      <xdr:col>18</xdr:col>
      <xdr:colOff>342900</xdr:colOff>
      <xdr:row>15</xdr:row>
      <xdr:rowOff>15328</xdr:rowOff>
    </xdr:to>
    <xdr:pic>
      <xdr:nvPicPr>
        <xdr:cNvPr id="2"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93280" y="1138581"/>
          <a:ext cx="1539240" cy="14827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264159</xdr:colOff>
      <xdr:row>1</xdr:row>
      <xdr:rowOff>0</xdr:rowOff>
    </xdr:from>
    <xdr:to>
      <xdr:col>11</xdr:col>
      <xdr:colOff>281940</xdr:colOff>
      <xdr:row>3</xdr:row>
      <xdr:rowOff>149392</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6159" y="167640"/>
          <a:ext cx="3980181" cy="5989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7620</xdr:colOff>
          <xdr:row>88</xdr:row>
          <xdr:rowOff>0</xdr:rowOff>
        </xdr:from>
        <xdr:to>
          <xdr:col>14</xdr:col>
          <xdr:colOff>0</xdr:colOff>
          <xdr:row>91</xdr:row>
          <xdr:rowOff>7620</xdr:rowOff>
        </xdr:to>
        <xdr:sp macro="" textlink="">
          <xdr:nvSpPr>
            <xdr:cNvPr id="12289" name="List Box 1" hidden="1">
              <a:extLst>
                <a:ext uri="{63B3BB69-23CF-44E3-9099-C40C66FF867C}">
                  <a14:compatExt spid="_x0000_s122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94</xdr:row>
          <xdr:rowOff>0</xdr:rowOff>
        </xdr:from>
        <xdr:to>
          <xdr:col>5</xdr:col>
          <xdr:colOff>0</xdr:colOff>
          <xdr:row>95</xdr:row>
          <xdr:rowOff>7620</xdr:rowOff>
        </xdr:to>
        <xdr:sp macro="" textlink="">
          <xdr:nvSpPr>
            <xdr:cNvPr id="12290" name="Check Box 2" hidden="1">
              <a:extLst>
                <a:ext uri="{63B3BB69-23CF-44E3-9099-C40C66FF867C}">
                  <a14:compatExt spid="_x0000_s122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95</xdr:row>
          <xdr:rowOff>0</xdr:rowOff>
        </xdr:from>
        <xdr:to>
          <xdr:col>4</xdr:col>
          <xdr:colOff>617220</xdr:colOff>
          <xdr:row>96</xdr:row>
          <xdr:rowOff>7620</xdr:rowOff>
        </xdr:to>
        <xdr:sp macro="" textlink="">
          <xdr:nvSpPr>
            <xdr:cNvPr id="12291" name="Check Box 3" hidden="1">
              <a:extLst>
                <a:ext uri="{63B3BB69-23CF-44E3-9099-C40C66FF867C}">
                  <a14:compatExt spid="_x0000_s122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96</xdr:row>
          <xdr:rowOff>22860</xdr:rowOff>
        </xdr:from>
        <xdr:to>
          <xdr:col>4</xdr:col>
          <xdr:colOff>617220</xdr:colOff>
          <xdr:row>97</xdr:row>
          <xdr:rowOff>30480</xdr:rowOff>
        </xdr:to>
        <xdr:sp macro="" textlink="">
          <xdr:nvSpPr>
            <xdr:cNvPr id="12292" name="Check Box 4" hidden="1">
              <a:extLst>
                <a:ext uri="{63B3BB69-23CF-44E3-9099-C40C66FF867C}">
                  <a14:compatExt spid="_x0000_s122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50</xdr:row>
          <xdr:rowOff>38100</xdr:rowOff>
        </xdr:from>
        <xdr:to>
          <xdr:col>10</xdr:col>
          <xdr:colOff>0</xdr:colOff>
          <xdr:row>51</xdr:row>
          <xdr:rowOff>129540</xdr:rowOff>
        </xdr:to>
        <xdr:sp macro="" textlink="">
          <xdr:nvSpPr>
            <xdr:cNvPr id="12293" name="Check Box 5" hidden="1">
              <a:extLst>
                <a:ext uri="{63B3BB69-23CF-44E3-9099-C40C66FF867C}">
                  <a14:compatExt spid="_x0000_s122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Use Farm Cost Per Pound of Feed</a:t>
              </a:r>
            </a:p>
          </xdr:txBody>
        </xdr:sp>
        <xdr:clientData fLocksWithSheet="0"/>
      </xdr:twoCellAnchor>
    </mc:Choice>
    <mc:Fallback/>
  </mc:AlternateContent>
  <xdr:twoCellAnchor>
    <xdr:from>
      <xdr:col>12</xdr:col>
      <xdr:colOff>106680</xdr:colOff>
      <xdr:row>1</xdr:row>
      <xdr:rowOff>0</xdr:rowOff>
    </xdr:from>
    <xdr:to>
      <xdr:col>16</xdr:col>
      <xdr:colOff>723901</xdr:colOff>
      <xdr:row>6</xdr:row>
      <xdr:rowOff>177282</xdr:rowOff>
    </xdr:to>
    <xdr:pic>
      <xdr:nvPicPr>
        <xdr:cNvPr id="9" name="Picture 1" descr="color3"/>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5090160" y="20683"/>
          <a:ext cx="2819401" cy="1345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7</xdr:row>
      <xdr:rowOff>0</xdr:rowOff>
    </xdr:from>
    <xdr:to>
      <xdr:col>18</xdr:col>
      <xdr:colOff>335280</xdr:colOff>
      <xdr:row>15</xdr:row>
      <xdr:rowOff>19747</xdr:rowOff>
    </xdr:to>
    <xdr:pic>
      <xdr:nvPicPr>
        <xdr:cNvPr id="11" name="Picture 1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85660" y="1181100"/>
          <a:ext cx="1539240" cy="14827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264159</xdr:colOff>
      <xdr:row>1</xdr:row>
      <xdr:rowOff>0</xdr:rowOff>
    </xdr:from>
    <xdr:to>
      <xdr:col>11</xdr:col>
      <xdr:colOff>266700</xdr:colOff>
      <xdr:row>3</xdr:row>
      <xdr:rowOff>148403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6159" y="182880"/>
          <a:ext cx="3964941" cy="5979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7620</xdr:colOff>
          <xdr:row>88</xdr:row>
          <xdr:rowOff>0</xdr:rowOff>
        </xdr:from>
        <xdr:to>
          <xdr:col>14</xdr:col>
          <xdr:colOff>7620</xdr:colOff>
          <xdr:row>91</xdr:row>
          <xdr:rowOff>7620</xdr:rowOff>
        </xdr:to>
        <xdr:sp macro="" textlink="">
          <xdr:nvSpPr>
            <xdr:cNvPr id="13313" name="List Box 1" hidden="1">
              <a:extLst>
                <a:ext uri="{63B3BB69-23CF-44E3-9099-C40C66FF867C}">
                  <a14:compatExt spid="_x0000_s133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94</xdr:row>
          <xdr:rowOff>0</xdr:rowOff>
        </xdr:from>
        <xdr:to>
          <xdr:col>4</xdr:col>
          <xdr:colOff>609600</xdr:colOff>
          <xdr:row>95</xdr:row>
          <xdr:rowOff>7620</xdr:rowOff>
        </xdr:to>
        <xdr:sp macro="" textlink="">
          <xdr:nvSpPr>
            <xdr:cNvPr id="13314" name="Check Box 2" hidden="1">
              <a:extLst>
                <a:ext uri="{63B3BB69-23CF-44E3-9099-C40C66FF867C}">
                  <a14:compatExt spid="_x0000_s133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95</xdr:row>
          <xdr:rowOff>0</xdr:rowOff>
        </xdr:from>
        <xdr:to>
          <xdr:col>4</xdr:col>
          <xdr:colOff>609600</xdr:colOff>
          <xdr:row>96</xdr:row>
          <xdr:rowOff>7620</xdr:rowOff>
        </xdr:to>
        <xdr:sp macro="" textlink="">
          <xdr:nvSpPr>
            <xdr:cNvPr id="13315" name="Check Box 3" hidden="1">
              <a:extLst>
                <a:ext uri="{63B3BB69-23CF-44E3-9099-C40C66FF867C}">
                  <a14:compatExt spid="_x0000_s133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96</xdr:row>
          <xdr:rowOff>22860</xdr:rowOff>
        </xdr:from>
        <xdr:to>
          <xdr:col>4</xdr:col>
          <xdr:colOff>609600</xdr:colOff>
          <xdr:row>97</xdr:row>
          <xdr:rowOff>30480</xdr:rowOff>
        </xdr:to>
        <xdr:sp macro="" textlink="">
          <xdr:nvSpPr>
            <xdr:cNvPr id="13316" name="Check Box 4" hidden="1">
              <a:extLst>
                <a:ext uri="{63B3BB69-23CF-44E3-9099-C40C66FF867C}">
                  <a14:compatExt spid="_x0000_s133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50</xdr:row>
          <xdr:rowOff>38100</xdr:rowOff>
        </xdr:from>
        <xdr:to>
          <xdr:col>9</xdr:col>
          <xdr:colOff>1051560</xdr:colOff>
          <xdr:row>51</xdr:row>
          <xdr:rowOff>129540</xdr:rowOff>
        </xdr:to>
        <xdr:sp macro="" textlink="">
          <xdr:nvSpPr>
            <xdr:cNvPr id="13317" name="Check Box 5" hidden="1">
              <a:extLst>
                <a:ext uri="{63B3BB69-23CF-44E3-9099-C40C66FF867C}">
                  <a14:compatExt spid="_x0000_s133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Use Farm Cost Per Pound of Feed</a:t>
              </a:r>
            </a:p>
          </xdr:txBody>
        </xdr:sp>
        <xdr:clientData fLocksWithSheet="0"/>
      </xdr:twoCellAnchor>
    </mc:Choice>
    <mc:Fallback/>
  </mc:AlternateContent>
  <xdr:twoCellAnchor>
    <xdr:from>
      <xdr:col>12</xdr:col>
      <xdr:colOff>185584</xdr:colOff>
      <xdr:row>1</xdr:row>
      <xdr:rowOff>0</xdr:rowOff>
    </xdr:from>
    <xdr:to>
      <xdr:col>17</xdr:col>
      <xdr:colOff>1</xdr:colOff>
      <xdr:row>7</xdr:row>
      <xdr:rowOff>22860</xdr:rowOff>
    </xdr:to>
    <xdr:pic>
      <xdr:nvPicPr>
        <xdr:cNvPr id="9" name="Picture 1" descr="color3"/>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5169064" y="30480"/>
          <a:ext cx="2892897" cy="1120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7</xdr:row>
      <xdr:rowOff>0</xdr:rowOff>
    </xdr:from>
    <xdr:to>
      <xdr:col>18</xdr:col>
      <xdr:colOff>335280</xdr:colOff>
      <xdr:row>15</xdr:row>
      <xdr:rowOff>19747</xdr:rowOff>
    </xdr:to>
    <xdr:pic>
      <xdr:nvPicPr>
        <xdr:cNvPr id="10" name="Picture 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85660" y="1127760"/>
          <a:ext cx="1539240" cy="14827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5.vml"/><Relationship Id="rId7" Type="http://schemas.openxmlformats.org/officeDocument/2006/relationships/ctrlProp" Target="../ctrlProps/ctrlProp1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H52"/>
  <sheetViews>
    <sheetView tabSelected="1" zoomScaleNormal="100" workbookViewId="0"/>
  </sheetViews>
  <sheetFormatPr defaultRowHeight="14.4" x14ac:dyDescent="0.3"/>
  <cols>
    <col min="1" max="1" width="10.88671875" customWidth="1"/>
  </cols>
  <sheetData>
    <row r="1" spans="1:8" ht="15.6" x14ac:dyDescent="0.3">
      <c r="B1" s="878" t="s">
        <v>260</v>
      </c>
      <c r="C1" s="880"/>
      <c r="D1" s="880"/>
      <c r="E1" s="880"/>
      <c r="F1" s="880"/>
      <c r="G1" s="880"/>
      <c r="H1" s="881"/>
    </row>
    <row r="2" spans="1:8" x14ac:dyDescent="0.3">
      <c r="A2" s="882" t="s">
        <v>240</v>
      </c>
    </row>
    <row r="3" spans="1:8" ht="14.4" customHeight="1" x14ac:dyDescent="0.3">
      <c r="A3" s="1278" t="s">
        <v>254</v>
      </c>
    </row>
    <row r="4" spans="1:8" x14ac:dyDescent="0.3">
      <c r="A4" s="1279"/>
    </row>
    <row r="5" spans="1:8" ht="5.4" customHeight="1" x14ac:dyDescent="0.3"/>
    <row r="6" spans="1:8" ht="14.4" customHeight="1" x14ac:dyDescent="0.3">
      <c r="A6" s="1278" t="s">
        <v>258</v>
      </c>
    </row>
    <row r="7" spans="1:8" x14ac:dyDescent="0.3">
      <c r="A7" s="1279"/>
    </row>
    <row r="8" spans="1:8" ht="6" customHeight="1" x14ac:dyDescent="0.3"/>
    <row r="9" spans="1:8" x14ac:dyDescent="0.3">
      <c r="A9" s="879" t="s">
        <v>253</v>
      </c>
    </row>
    <row r="14" spans="1:8" x14ac:dyDescent="0.3">
      <c r="A14" s="1280" t="s">
        <v>260</v>
      </c>
    </row>
    <row r="15" spans="1:8" x14ac:dyDescent="0.3">
      <c r="A15" s="1281"/>
    </row>
    <row r="16" spans="1:8" x14ac:dyDescent="0.3">
      <c r="A16" s="1281"/>
    </row>
    <row r="17" spans="1:1" x14ac:dyDescent="0.3">
      <c r="A17" s="1281"/>
    </row>
    <row r="18" spans="1:1" x14ac:dyDescent="0.3">
      <c r="A18" s="1281"/>
    </row>
    <row r="19" spans="1:1" x14ac:dyDescent="0.3">
      <c r="A19" s="1281"/>
    </row>
    <row r="20" spans="1:1" x14ac:dyDescent="0.3">
      <c r="A20" s="1281"/>
    </row>
    <row r="21" spans="1:1" x14ac:dyDescent="0.3">
      <c r="A21" s="1281"/>
    </row>
    <row r="22" spans="1:1" x14ac:dyDescent="0.3">
      <c r="A22" s="1281"/>
    </row>
    <row r="23" spans="1:1" x14ac:dyDescent="0.3">
      <c r="A23" s="1281"/>
    </row>
    <row r="24" spans="1:1" x14ac:dyDescent="0.3">
      <c r="A24" s="1281"/>
    </row>
    <row r="25" spans="1:1" x14ac:dyDescent="0.3">
      <c r="A25" s="1281"/>
    </row>
    <row r="26" spans="1:1" x14ac:dyDescent="0.3">
      <c r="A26" s="1281"/>
    </row>
    <row r="27" spans="1:1" x14ac:dyDescent="0.3">
      <c r="A27" s="1281"/>
    </row>
    <row r="28" spans="1:1" x14ac:dyDescent="0.3">
      <c r="A28" s="1281"/>
    </row>
    <row r="29" spans="1:1" x14ac:dyDescent="0.3">
      <c r="A29" s="1281"/>
    </row>
    <row r="30" spans="1:1" x14ac:dyDescent="0.3">
      <c r="A30" s="882" t="s">
        <v>240</v>
      </c>
    </row>
    <row r="31" spans="1:1" x14ac:dyDescent="0.3">
      <c r="A31" s="1278" t="s">
        <v>254</v>
      </c>
    </row>
    <row r="32" spans="1:1" x14ac:dyDescent="0.3">
      <c r="A32" s="1279"/>
    </row>
    <row r="33" spans="1:1" ht="6" customHeight="1" x14ac:dyDescent="0.3"/>
    <row r="34" spans="1:1" x14ac:dyDescent="0.3">
      <c r="A34" s="1278" t="s">
        <v>258</v>
      </c>
    </row>
    <row r="35" spans="1:1" x14ac:dyDescent="0.3">
      <c r="A35" s="1279"/>
    </row>
    <row r="36" spans="1:1" ht="6" customHeight="1" x14ac:dyDescent="0.3"/>
    <row r="37" spans="1:1" x14ac:dyDescent="0.3">
      <c r="A37" s="879" t="s">
        <v>253</v>
      </c>
    </row>
    <row r="49" ht="14.4" customHeight="1" x14ac:dyDescent="0.3"/>
    <row r="52" ht="14.4" customHeight="1" x14ac:dyDescent="0.3"/>
  </sheetData>
  <sheetProtection password="9009" sheet="1" objects="1" scenarios="1"/>
  <mergeCells count="5">
    <mergeCell ref="A34:A35"/>
    <mergeCell ref="A14:A29"/>
    <mergeCell ref="A6:A7"/>
    <mergeCell ref="A3:A4"/>
    <mergeCell ref="A31:A32"/>
  </mergeCells>
  <hyperlinks>
    <hyperlink ref="A3" location="'Advanced Version'!A2" display="Home"/>
    <hyperlink ref="A6:A7" location="'Beginning Version'!A2" display="Beginning Spreadsheet"/>
    <hyperlink ref="A31" location="'Advanced Version'!A2" display="Home"/>
    <hyperlink ref="A34:A35" location="'Beginning Version'!A2" display="Beginning Spreadsheet"/>
    <hyperlink ref="A9" location="'User Manual'!B1" display="User Manual"/>
    <hyperlink ref="A37" location="'User Manual'!B1" display="User Manual"/>
  </hyperlinks>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1034" r:id="rId4">
          <objectPr locked="0" defaultSize="0" autoPict="0" r:id="rId5">
            <anchor moveWithCells="1">
              <from>
                <xdr:col>1</xdr:col>
                <xdr:colOff>30480</xdr:colOff>
                <xdr:row>1</xdr:row>
                <xdr:rowOff>76200</xdr:rowOff>
              </from>
              <to>
                <xdr:col>16</xdr:col>
                <xdr:colOff>152400</xdr:colOff>
                <xdr:row>52</xdr:row>
                <xdr:rowOff>30480</xdr:rowOff>
              </to>
            </anchor>
          </objectPr>
        </oleObject>
      </mc:Choice>
      <mc:Fallback>
        <oleObject progId="Document" shapeId="1034"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Z504"/>
  <sheetViews>
    <sheetView topLeftCell="A2" zoomScaleNormal="100" zoomScalePageLayoutView="50" workbookViewId="0">
      <selection activeCell="A2" sqref="A2"/>
    </sheetView>
  </sheetViews>
  <sheetFormatPr defaultRowHeight="14.4" x14ac:dyDescent="0.3"/>
  <cols>
    <col min="1" max="1" width="2.77734375" customWidth="1"/>
    <col min="2" max="2" width="5.77734375" customWidth="1"/>
    <col min="3" max="4" width="2.77734375" customWidth="1"/>
    <col min="5" max="5" width="9.109375" customWidth="1"/>
    <col min="6" max="8" width="2.77734375" customWidth="1"/>
    <col min="9" max="9" width="11.77734375" customWidth="1"/>
    <col min="10" max="10" width="14.77734375" customWidth="1"/>
    <col min="11" max="11" width="12.77734375" customWidth="1"/>
    <col min="12" max="12" width="4.77734375" customWidth="1"/>
    <col min="13" max="13" width="9.77734375" customWidth="1"/>
    <col min="14" max="14" width="4.77734375" customWidth="1"/>
    <col min="15" max="15" width="12.77734375" customWidth="1"/>
    <col min="16" max="16" width="4.77734375" customWidth="1"/>
    <col min="17" max="17" width="12.77734375" customWidth="1"/>
    <col min="18" max="18" width="4.77734375" customWidth="1"/>
    <col min="19" max="19" width="12.77734375" customWidth="1"/>
    <col min="20" max="20" width="4.77734375" customWidth="1"/>
    <col min="21" max="21" width="12.77734375" customWidth="1"/>
    <col min="22" max="22" width="4.77734375" customWidth="1"/>
    <col min="23" max="23" width="12.77734375" customWidth="1"/>
    <col min="24" max="24" width="4.77734375" customWidth="1"/>
    <col min="25" max="25" width="6.109375" customWidth="1"/>
    <col min="26" max="26" width="5.44140625" customWidth="1"/>
    <col min="27" max="33" width="8.88671875" hidden="1" customWidth="1"/>
    <col min="34" max="34" width="12.77734375" hidden="1" customWidth="1"/>
    <col min="35" max="36" width="8.88671875" hidden="1" customWidth="1"/>
    <col min="37" max="37" width="12.77734375" hidden="1" customWidth="1"/>
    <col min="38" max="38" width="2.77734375" hidden="1" customWidth="1"/>
    <col min="39" max="39" width="12.77734375" hidden="1" customWidth="1"/>
    <col min="40" max="40" width="2.77734375" hidden="1" customWidth="1"/>
    <col min="41" max="41" width="12.77734375" hidden="1" customWidth="1"/>
    <col min="42" max="42" width="2.77734375" hidden="1" customWidth="1"/>
    <col min="43" max="43" width="12.77734375" hidden="1" customWidth="1"/>
    <col min="44" max="44" width="2.77734375" hidden="1" customWidth="1"/>
    <col min="45" max="45" width="12.77734375" hidden="1" customWidth="1"/>
    <col min="46" max="46" width="2.77734375" hidden="1" customWidth="1"/>
    <col min="47" max="52" width="8.88671875" hidden="1" customWidth="1"/>
  </cols>
  <sheetData>
    <row r="1" spans="1:52" ht="14.4" hidden="1" customHeight="1" x14ac:dyDescent="0.3"/>
    <row r="2" spans="1:52" s="12" customFormat="1" ht="18" customHeight="1" x14ac:dyDescent="0.3">
      <c r="A2" s="889" t="s">
        <v>238</v>
      </c>
      <c r="B2" s="40"/>
      <c r="C2" s="40"/>
      <c r="D2" s="1"/>
      <c r="E2" s="1"/>
      <c r="F2" s="1"/>
      <c r="G2" s="1"/>
      <c r="H2" s="1"/>
      <c r="I2" s="1"/>
      <c r="J2" s="1"/>
      <c r="K2" s="1"/>
      <c r="L2" s="37"/>
      <c r="M2" s="39"/>
      <c r="N2" s="39"/>
      <c r="O2" s="22"/>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12" customFormat="1" ht="14.4" customHeight="1" x14ac:dyDescent="0.3">
      <c r="A3" s="1"/>
      <c r="B3" s="1"/>
      <c r="C3" s="1"/>
      <c r="D3" s="1"/>
      <c r="E3" s="1"/>
      <c r="F3" s="1"/>
      <c r="G3" s="1"/>
      <c r="H3" s="1"/>
      <c r="I3" s="1"/>
      <c r="J3" s="1"/>
      <c r="K3" s="1"/>
      <c r="L3" s="37"/>
      <c r="M3" s="39"/>
      <c r="N3" s="39"/>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12" customFormat="1" ht="14.4" customHeight="1" x14ac:dyDescent="0.3">
      <c r="A4" s="1"/>
      <c r="B4" s="1"/>
      <c r="C4" s="1"/>
      <c r="D4" s="1"/>
      <c r="E4" s="1"/>
      <c r="F4" s="1"/>
      <c r="G4" s="1"/>
      <c r="H4" s="1"/>
      <c r="I4" s="1"/>
      <c r="J4" s="1"/>
      <c r="K4" s="1"/>
      <c r="L4" s="37"/>
      <c r="M4" s="39"/>
      <c r="N4" s="39"/>
      <c r="O4" s="22"/>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12" customFormat="1" ht="14.4" customHeight="1" x14ac:dyDescent="0.3">
      <c r="A5" s="1282" t="s">
        <v>240</v>
      </c>
      <c r="B5" s="1283"/>
      <c r="C5" s="1"/>
      <c r="D5" s="1"/>
      <c r="E5" s="36"/>
      <c r="F5" s="36" t="s">
        <v>95</v>
      </c>
      <c r="G5" s="1"/>
      <c r="H5" s="1"/>
      <c r="I5" s="1"/>
      <c r="J5" s="1"/>
      <c r="K5" s="1"/>
      <c r="L5" s="37"/>
      <c r="M5" s="39"/>
      <c r="N5" s="39"/>
      <c r="O5" s="22"/>
      <c r="P5" s="1"/>
      <c r="Q5" s="40"/>
      <c r="R5" s="40"/>
      <c r="S5" s="40"/>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12" customFormat="1" ht="14.4" customHeight="1" x14ac:dyDescent="0.3">
      <c r="A6" s="1284" t="s">
        <v>250</v>
      </c>
      <c r="B6" s="1285"/>
      <c r="C6" s="1285"/>
      <c r="D6" s="1286"/>
      <c r="E6" s="1"/>
      <c r="F6" s="1"/>
      <c r="G6" s="1"/>
      <c r="H6" s="1"/>
      <c r="I6" s="1" t="s">
        <v>48</v>
      </c>
      <c r="J6" s="1" t="s">
        <v>192</v>
      </c>
      <c r="K6" s="1"/>
      <c r="L6" s="37"/>
      <c r="M6" s="39"/>
      <c r="N6" s="39"/>
      <c r="O6" s="22"/>
      <c r="P6" s="1"/>
      <c r="Q6" s="1"/>
      <c r="R6" s="1"/>
      <c r="S6" s="1"/>
      <c r="T6" s="1"/>
      <c r="U6" s="1"/>
      <c r="V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12" customFormat="1" ht="14.4" customHeight="1" x14ac:dyDescent="0.3">
      <c r="C7" s="1"/>
      <c r="D7" s="1"/>
      <c r="E7" s="1"/>
      <c r="F7" s="1"/>
      <c r="G7" s="1"/>
      <c r="H7" s="1"/>
      <c r="I7" s="1" t="s">
        <v>141</v>
      </c>
      <c r="J7" s="1" t="s">
        <v>142</v>
      </c>
      <c r="K7" s="1"/>
      <c r="L7" s="37"/>
      <c r="M7" s="39"/>
      <c r="N7" s="39"/>
      <c r="O7" s="22"/>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12" customFormat="1" ht="14.4" customHeight="1" x14ac:dyDescent="0.3">
      <c r="A8" s="1291" t="s">
        <v>254</v>
      </c>
      <c r="B8" s="1292"/>
      <c r="C8" s="1292"/>
      <c r="D8" s="1293"/>
      <c r="E8" s="1"/>
      <c r="F8" s="1"/>
      <c r="G8" s="1"/>
      <c r="H8" s="1"/>
      <c r="I8" s="1" t="s">
        <v>47</v>
      </c>
      <c r="J8" s="1" t="s">
        <v>143</v>
      </c>
      <c r="L8" s="37"/>
      <c r="M8" s="39"/>
      <c r="N8" s="39"/>
      <c r="O8" s="22"/>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12" customFormat="1" ht="14.4" customHeight="1" x14ac:dyDescent="0.3">
      <c r="A9" s="1294"/>
      <c r="B9" s="1295"/>
      <c r="C9" s="1295"/>
      <c r="D9" s="1296"/>
      <c r="E9" s="1"/>
      <c r="F9" s="1"/>
      <c r="G9" s="1"/>
      <c r="H9" s="1"/>
      <c r="I9" s="1" t="s">
        <v>216</v>
      </c>
      <c r="J9" s="1"/>
      <c r="K9" s="1"/>
      <c r="L9" s="37"/>
      <c r="M9" s="39"/>
      <c r="N9" s="39"/>
      <c r="O9" s="22"/>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12" customFormat="1" ht="14.4" customHeight="1" x14ac:dyDescent="0.3">
      <c r="A10" s="1"/>
      <c r="B10" s="1"/>
      <c r="C10" s="1"/>
      <c r="D10" s="1"/>
      <c r="E10" s="1"/>
      <c r="F10" s="1"/>
      <c r="G10" s="1"/>
      <c r="H10" s="1"/>
      <c r="I10" s="1"/>
      <c r="J10" s="1"/>
      <c r="K10" s="1"/>
      <c r="L10" s="37"/>
      <c r="M10" s="39"/>
      <c r="N10" s="39"/>
      <c r="O10" s="22"/>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12" customFormat="1" ht="14.4" customHeight="1" x14ac:dyDescent="0.3">
      <c r="E11" s="1"/>
      <c r="F11" s="1"/>
      <c r="G11" s="1"/>
      <c r="H11" s="1"/>
      <c r="I11" s="1" t="s">
        <v>294</v>
      </c>
      <c r="J11" s="1" t="s">
        <v>238</v>
      </c>
      <c r="K11" s="1"/>
      <c r="L11" s="37"/>
      <c r="M11" s="39"/>
      <c r="N11" s="39"/>
      <c r="O11" s="22"/>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12" customFormat="1" ht="14.4" customHeight="1" x14ac:dyDescent="0.3">
      <c r="A12" s="1"/>
      <c r="B12" s="1"/>
      <c r="C12" s="1"/>
      <c r="D12" s="1"/>
      <c r="E12" s="1"/>
      <c r="F12" s="1"/>
      <c r="G12" s="1"/>
      <c r="H12" s="1"/>
      <c r="I12" s="1"/>
      <c r="J12" s="1"/>
      <c r="K12" s="1"/>
      <c r="L12" s="37"/>
      <c r="M12" s="39"/>
      <c r="N12" s="39"/>
      <c r="O12" s="22"/>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12" customFormat="1" ht="14.4" customHeight="1" x14ac:dyDescent="0.3">
      <c r="A13" s="1"/>
      <c r="B13" s="1"/>
      <c r="C13" s="1"/>
      <c r="D13" s="1"/>
      <c r="E13" s="1"/>
      <c r="F13" s="1"/>
      <c r="G13" s="1"/>
      <c r="H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12" customFormat="1" ht="14.4" customHeight="1" x14ac:dyDescent="0.3">
      <c r="A14" s="1"/>
      <c r="B14" s="1"/>
      <c r="C14" s="1"/>
      <c r="D14" s="1"/>
      <c r="E14" s="1"/>
      <c r="F14" s="1"/>
      <c r="G14" s="1"/>
      <c r="H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12" customFormat="1" ht="14.4"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12" customFormat="1" ht="14.4" customHeight="1" x14ac:dyDescent="0.3">
      <c r="E16" s="1"/>
      <c r="G16" s="1"/>
      <c r="H16" s="38" t="s">
        <v>1</v>
      </c>
      <c r="I16" s="41">
        <v>42339</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s="12" customFormat="1" ht="14.4" customHeight="1" x14ac:dyDescent="0.3">
      <c r="A17" s="1"/>
      <c r="B17" s="1"/>
      <c r="C17" s="1"/>
      <c r="D17" s="1"/>
      <c r="E17" s="1"/>
      <c r="G17" s="1"/>
      <c r="H17" s="38" t="s">
        <v>2</v>
      </c>
      <c r="I17" s="1309" t="s">
        <v>217</v>
      </c>
      <c r="J17" s="1310"/>
      <c r="K17" s="1311"/>
      <c r="L17" s="37"/>
      <c r="M17" s="39"/>
      <c r="N17" s="39"/>
      <c r="O17" s="22"/>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s="12" customFormat="1" ht="14.4" customHeight="1" x14ac:dyDescent="0.3">
      <c r="A18" s="1"/>
      <c r="B18" s="1"/>
      <c r="C18" s="1"/>
      <c r="D18" s="1"/>
      <c r="E18" s="1"/>
      <c r="G18" s="1"/>
      <c r="H18" s="38" t="s">
        <v>232</v>
      </c>
      <c r="I18" s="1309" t="s">
        <v>187</v>
      </c>
      <c r="J18" s="1310"/>
      <c r="K18" s="1311"/>
      <c r="L18" s="37"/>
      <c r="M18" s="39"/>
      <c r="N18" s="39"/>
      <c r="O18" s="22"/>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s="12" customFormat="1" ht="14.4" customHeight="1" x14ac:dyDescent="0.3">
      <c r="A19" s="1"/>
      <c r="B19" s="1"/>
      <c r="C19" s="1"/>
      <c r="D19" s="1"/>
      <c r="E19" s="1"/>
      <c r="F19" s="1"/>
      <c r="G19" s="1"/>
      <c r="H19" s="1"/>
      <c r="J19" s="1"/>
      <c r="K19" s="1"/>
      <c r="L19" s="1"/>
      <c r="M19" s="38"/>
      <c r="N19" s="38"/>
      <c r="Y19" s="22"/>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s="12" customFormat="1" ht="14.4" customHeight="1" x14ac:dyDescent="0.3">
      <c r="A20" s="1"/>
      <c r="B20" s="42" t="s">
        <v>223</v>
      </c>
      <c r="C20" s="1"/>
      <c r="D20" s="43"/>
      <c r="E20" s="43"/>
      <c r="F20" s="43"/>
      <c r="G20" s="43"/>
      <c r="H20" s="1"/>
      <c r="I20" s="1"/>
      <c r="J20" s="1"/>
      <c r="K20" s="1"/>
      <c r="L20" s="37"/>
      <c r="M20" s="38"/>
      <c r="N20" s="38"/>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s="12" customFormat="1" ht="14.4" customHeight="1" x14ac:dyDescent="0.3">
      <c r="A21" s="69"/>
      <c r="B21" s="69"/>
      <c r="C21" s="69"/>
      <c r="D21" s="69"/>
      <c r="E21" s="43"/>
      <c r="F21" s="43"/>
      <c r="G21" s="43"/>
      <c r="H21" s="1" t="s">
        <v>194</v>
      </c>
      <c r="I21" s="44">
        <v>1200</v>
      </c>
      <c r="J21" s="45" t="s">
        <v>193</v>
      </c>
      <c r="K21" s="46"/>
      <c r="L21" s="47"/>
      <c r="M21" s="48"/>
      <c r="N21" s="49"/>
      <c r="Y21" s="1"/>
      <c r="Z21" s="1"/>
      <c r="AA21" s="1"/>
      <c r="AB21" s="1"/>
      <c r="AC21" s="1"/>
      <c r="AD21" s="1"/>
      <c r="AE21" s="1"/>
      <c r="AF21" s="1"/>
      <c r="AG21" s="1"/>
      <c r="AH21" s="1"/>
      <c r="AI21" s="50">
        <f>O58</f>
        <v>1200</v>
      </c>
      <c r="AJ21" s="50"/>
      <c r="AK21" s="51">
        <f>Q58</f>
        <v>1200</v>
      </c>
      <c r="AL21" s="51"/>
      <c r="AM21" s="52">
        <f>S58</f>
        <v>1200</v>
      </c>
      <c r="AN21" s="52"/>
      <c r="AO21" s="53">
        <f>U58</f>
        <v>1200</v>
      </c>
      <c r="AP21" s="53"/>
      <c r="AQ21" s="54">
        <f>W58</f>
        <v>1200</v>
      </c>
      <c r="AR21" s="55"/>
      <c r="AS21" s="1"/>
      <c r="AT21" s="1"/>
      <c r="AU21" s="1"/>
      <c r="AV21" s="1"/>
      <c r="AW21" s="1"/>
      <c r="AX21" s="1"/>
      <c r="AY21" s="1"/>
      <c r="AZ21" s="1"/>
    </row>
    <row r="22" spans="1:52" s="12" customFormat="1" ht="14.4" customHeight="1" x14ac:dyDescent="0.3">
      <c r="A22" s="69"/>
      <c r="B22" s="69"/>
      <c r="C22" s="69"/>
      <c r="D22" s="69"/>
      <c r="E22" s="43"/>
      <c r="F22" s="43"/>
      <c r="G22" s="43"/>
      <c r="H22" s="1" t="s">
        <v>195</v>
      </c>
      <c r="I22" s="44">
        <f>I21*24</f>
        <v>28800</v>
      </c>
      <c r="J22" s="56" t="s">
        <v>75</v>
      </c>
      <c r="K22" s="22"/>
      <c r="L22" s="57"/>
      <c r="M22" s="39"/>
      <c r="N22" s="58"/>
      <c r="Y22" s="1"/>
      <c r="Z22" s="1"/>
      <c r="AA22" s="1"/>
      <c r="AB22" s="1"/>
      <c r="AC22" s="1"/>
      <c r="AD22" s="1"/>
      <c r="AE22" s="1"/>
      <c r="AF22" s="1"/>
      <c r="AG22" s="1"/>
      <c r="AH22" s="1"/>
      <c r="AI22" s="59">
        <f>O61</f>
        <v>28800</v>
      </c>
      <c r="AJ22" s="60"/>
      <c r="AK22" s="61">
        <f>Q61</f>
        <v>28800</v>
      </c>
      <c r="AL22" s="62"/>
      <c r="AM22" s="63">
        <f>S61</f>
        <v>28800</v>
      </c>
      <c r="AN22" s="64"/>
      <c r="AO22" s="65">
        <f>U61</f>
        <v>28800</v>
      </c>
      <c r="AP22" s="66"/>
      <c r="AQ22" s="67">
        <f>W61</f>
        <v>28800</v>
      </c>
      <c r="AR22" s="68"/>
      <c r="AS22" s="1"/>
      <c r="AT22" s="1"/>
      <c r="AU22" s="1"/>
      <c r="AV22" s="1"/>
      <c r="AW22" s="1"/>
      <c r="AX22" s="1"/>
      <c r="AY22" s="1"/>
      <c r="AZ22" s="1"/>
    </row>
    <row r="23" spans="1:52" s="12" customFormat="1" ht="14.4" customHeight="1" x14ac:dyDescent="0.3">
      <c r="A23" s="69"/>
      <c r="B23" s="69"/>
      <c r="C23" s="69"/>
      <c r="D23" s="69"/>
      <c r="E23" s="69"/>
      <c r="F23" s="43"/>
      <c r="G23" s="43"/>
      <c r="H23" s="1" t="s">
        <v>196</v>
      </c>
      <c r="I23" s="70">
        <v>11.84</v>
      </c>
      <c r="J23" s="71" t="s">
        <v>116</v>
      </c>
      <c r="K23" s="72"/>
      <c r="L23" s="73"/>
      <c r="M23" s="74"/>
      <c r="N23" s="75"/>
      <c r="P23" s="76" t="s">
        <v>157</v>
      </c>
      <c r="Y23" s="1"/>
      <c r="Z23" s="1"/>
      <c r="AA23" s="1"/>
      <c r="AB23" s="1"/>
      <c r="AC23" s="1"/>
      <c r="AD23" s="1"/>
      <c r="AE23" s="1"/>
      <c r="AF23" s="1"/>
      <c r="AG23" s="1"/>
      <c r="AH23" s="1"/>
      <c r="AI23" s="77">
        <f>O63</f>
        <v>11.84</v>
      </c>
      <c r="AJ23" s="78"/>
      <c r="AK23" s="79">
        <f>Q63</f>
        <v>11.84</v>
      </c>
      <c r="AL23" s="80"/>
      <c r="AM23" s="81">
        <f>S63</f>
        <v>11.84</v>
      </c>
      <c r="AN23" s="82"/>
      <c r="AO23" s="83">
        <f>U63</f>
        <v>11.84</v>
      </c>
      <c r="AP23" s="84"/>
      <c r="AQ23" s="85">
        <f>W63</f>
        <v>11.84</v>
      </c>
      <c r="AR23" s="86"/>
      <c r="AS23" s="1"/>
      <c r="AT23" s="1"/>
      <c r="AU23" s="1"/>
      <c r="AV23" s="1"/>
      <c r="AW23" s="1"/>
      <c r="AX23" s="1"/>
      <c r="AY23" s="1"/>
      <c r="AZ23" s="1"/>
    </row>
    <row r="24" spans="1:52" s="12" customFormat="1" ht="14.4" customHeight="1" x14ac:dyDescent="0.3">
      <c r="A24" s="69"/>
      <c r="B24" s="69"/>
      <c r="C24" s="69"/>
      <c r="D24" s="69"/>
      <c r="E24" s="1"/>
      <c r="F24" s="1"/>
      <c r="G24" s="1"/>
      <c r="H24" s="1" t="s">
        <v>197</v>
      </c>
      <c r="I24" s="87">
        <f>I22/I21</f>
        <v>24</v>
      </c>
      <c r="J24" s="88" t="s">
        <v>100</v>
      </c>
      <c r="K24" s="46"/>
      <c r="L24" s="47"/>
      <c r="M24" s="48"/>
      <c r="N24" s="49"/>
      <c r="P24" s="89" t="s">
        <v>133</v>
      </c>
      <c r="Y24" s="1"/>
      <c r="Z24" s="1"/>
      <c r="AA24" s="1"/>
      <c r="AB24" s="1"/>
      <c r="AC24" s="1"/>
      <c r="AD24" s="1"/>
      <c r="AE24" s="1"/>
      <c r="AF24" s="1"/>
      <c r="AG24" s="1"/>
      <c r="AH24" s="1"/>
      <c r="AI24" s="90">
        <f>O62</f>
        <v>24</v>
      </c>
      <c r="AJ24" s="91"/>
      <c r="AK24" s="92">
        <f>Q62</f>
        <v>24</v>
      </c>
      <c r="AL24" s="93"/>
      <c r="AM24" s="94">
        <f>S62</f>
        <v>24</v>
      </c>
      <c r="AN24" s="95"/>
      <c r="AO24" s="96">
        <f>U62</f>
        <v>24</v>
      </c>
      <c r="AP24" s="97"/>
      <c r="AQ24" s="98">
        <f>W62</f>
        <v>24</v>
      </c>
      <c r="AR24" s="99"/>
      <c r="AS24" s="1"/>
      <c r="AT24" s="1"/>
      <c r="AU24" s="1"/>
      <c r="AV24" s="1"/>
      <c r="AW24" s="1"/>
      <c r="AX24" s="1"/>
      <c r="AY24" s="1"/>
      <c r="AZ24" s="1"/>
    </row>
    <row r="25" spans="1:52" s="12" customFormat="1" ht="14.4" customHeight="1" x14ac:dyDescent="0.3">
      <c r="A25" s="69"/>
      <c r="B25" s="69"/>
      <c r="C25" s="69"/>
      <c r="D25" s="69"/>
      <c r="E25" s="1"/>
      <c r="F25" s="1"/>
      <c r="G25" s="1"/>
      <c r="H25" s="1" t="s">
        <v>198</v>
      </c>
      <c r="I25" s="100">
        <f>I26/(365/7)</f>
        <v>46.64938911514254</v>
      </c>
      <c r="J25" s="22" t="s">
        <v>67</v>
      </c>
      <c r="K25" s="22"/>
      <c r="L25" s="57"/>
      <c r="M25" s="39"/>
      <c r="N25" s="58"/>
      <c r="P25" s="12" t="s">
        <v>140</v>
      </c>
      <c r="Y25" s="1"/>
      <c r="Z25" s="1"/>
      <c r="AA25" s="1"/>
      <c r="AB25" s="1"/>
      <c r="AC25" s="1"/>
      <c r="AD25" s="1"/>
      <c r="AE25" s="1"/>
      <c r="AF25" s="1"/>
      <c r="AG25" s="1"/>
      <c r="AH25" s="1"/>
      <c r="AI25" s="101">
        <f>AI26/(365/7)</f>
        <v>46.64938911514254</v>
      </c>
      <c r="AJ25" s="60"/>
      <c r="AK25" s="102">
        <f>AK26/(365/7)</f>
        <v>46.64938911514254</v>
      </c>
      <c r="AL25" s="62"/>
      <c r="AM25" s="103">
        <f>AM26/(365/7)</f>
        <v>46.64938911514254</v>
      </c>
      <c r="AN25" s="64"/>
      <c r="AO25" s="104">
        <f>AO26/(365/7)</f>
        <v>46.64938911514254</v>
      </c>
      <c r="AP25" s="66"/>
      <c r="AQ25" s="105">
        <f>AQ26/(365/7)</f>
        <v>46.64938911514254</v>
      </c>
      <c r="AR25" s="68"/>
      <c r="AS25" s="1"/>
      <c r="AT25" s="1"/>
      <c r="AU25" s="1"/>
      <c r="AV25" s="1"/>
      <c r="AW25" s="1"/>
      <c r="AX25" s="1"/>
      <c r="AY25" s="1"/>
      <c r="AZ25" s="1"/>
    </row>
    <row r="26" spans="1:52" s="12" customFormat="1" ht="14.4" customHeight="1" x14ac:dyDescent="0.3">
      <c r="A26" s="69"/>
      <c r="B26" s="69"/>
      <c r="C26" s="69"/>
      <c r="D26" s="69"/>
      <c r="E26" s="1"/>
      <c r="F26" s="1"/>
      <c r="G26" s="1"/>
      <c r="H26" s="1" t="s">
        <v>199</v>
      </c>
      <c r="I26" s="106">
        <f>I22/I23</f>
        <v>2432.4324324324325</v>
      </c>
      <c r="J26" s="71" t="s">
        <v>81</v>
      </c>
      <c r="K26" s="72"/>
      <c r="L26" s="73"/>
      <c r="M26" s="74"/>
      <c r="N26" s="75"/>
      <c r="P26" s="12" t="s">
        <v>156</v>
      </c>
      <c r="Y26" s="1"/>
      <c r="Z26" s="1"/>
      <c r="AA26" s="1"/>
      <c r="AB26" s="1"/>
      <c r="AC26" s="1"/>
      <c r="AD26" s="1"/>
      <c r="AE26" s="1"/>
      <c r="AF26" s="1"/>
      <c r="AG26" s="1"/>
      <c r="AH26" s="1"/>
      <c r="AI26" s="107">
        <f>AI22/AI23</f>
        <v>2432.4324324324325</v>
      </c>
      <c r="AJ26" s="78"/>
      <c r="AK26" s="108">
        <f>AK22/AK23</f>
        <v>2432.4324324324325</v>
      </c>
      <c r="AL26" s="80"/>
      <c r="AM26" s="109">
        <f>AM22/AM23</f>
        <v>2432.4324324324325</v>
      </c>
      <c r="AN26" s="82"/>
      <c r="AO26" s="110">
        <f>AO22/AO23</f>
        <v>2432.4324324324325</v>
      </c>
      <c r="AP26" s="84"/>
      <c r="AQ26" s="111">
        <f>AQ22/AQ23</f>
        <v>2432.4324324324325</v>
      </c>
      <c r="AR26" s="86"/>
      <c r="AS26" s="1"/>
      <c r="AT26" s="1"/>
      <c r="AU26" s="1"/>
      <c r="AV26" s="1"/>
      <c r="AW26" s="1"/>
      <c r="AX26" s="1"/>
      <c r="AY26" s="1"/>
      <c r="AZ26" s="1"/>
    </row>
    <row r="27" spans="1:52" s="12" customFormat="1" ht="14.4" customHeight="1" x14ac:dyDescent="0.3">
      <c r="A27" s="69"/>
      <c r="B27" s="69"/>
      <c r="C27" s="69"/>
      <c r="D27" s="69"/>
      <c r="E27" s="1"/>
      <c r="F27" s="1"/>
      <c r="G27" s="1"/>
      <c r="H27" s="1" t="s">
        <v>200</v>
      </c>
      <c r="I27" s="87">
        <f>I24/I23</f>
        <v>2.0270270270270272</v>
      </c>
      <c r="J27" s="46" t="s">
        <v>121</v>
      </c>
      <c r="K27" s="46"/>
      <c r="L27" s="47"/>
      <c r="M27" s="48"/>
      <c r="N27" s="49"/>
      <c r="P27" s="12" t="s">
        <v>255</v>
      </c>
      <c r="Y27" s="1"/>
      <c r="Z27" s="1"/>
      <c r="AA27" s="1"/>
      <c r="AB27" s="1"/>
      <c r="AC27" s="1"/>
      <c r="AD27" s="1"/>
      <c r="AE27" s="1"/>
      <c r="AF27" s="1"/>
      <c r="AG27" s="1"/>
      <c r="AH27" s="1"/>
      <c r="AI27" s="90">
        <f>AI24/AI23</f>
        <v>2.0270270270270272</v>
      </c>
      <c r="AJ27" s="91"/>
      <c r="AK27" s="92">
        <f>AK24/AK23</f>
        <v>2.0270270270270272</v>
      </c>
      <c r="AL27" s="93"/>
      <c r="AM27" s="94">
        <f>AM24/AM23</f>
        <v>2.0270270270270272</v>
      </c>
      <c r="AN27" s="95"/>
      <c r="AO27" s="96">
        <f>AO24/AO23</f>
        <v>2.0270270270270272</v>
      </c>
      <c r="AP27" s="97"/>
      <c r="AQ27" s="98">
        <f>AQ24/AQ23</f>
        <v>2.0270270270270272</v>
      </c>
      <c r="AR27" s="99"/>
      <c r="AS27" s="1"/>
      <c r="AT27" s="1"/>
      <c r="AU27" s="1"/>
      <c r="AV27" s="1"/>
      <c r="AW27" s="1"/>
      <c r="AX27" s="1"/>
      <c r="AY27" s="1"/>
      <c r="AZ27" s="1"/>
    </row>
    <row r="28" spans="1:52" s="12" customFormat="1" ht="14.4" customHeight="1" x14ac:dyDescent="0.3">
      <c r="A28" s="69"/>
      <c r="B28" s="69"/>
      <c r="C28" s="69"/>
      <c r="D28" s="69"/>
      <c r="E28" s="1"/>
      <c r="F28" s="1"/>
      <c r="G28" s="1"/>
      <c r="H28" s="1" t="s">
        <v>201</v>
      </c>
      <c r="I28" s="112">
        <v>0.86</v>
      </c>
      <c r="J28" s="56" t="s">
        <v>59</v>
      </c>
      <c r="K28" s="22"/>
      <c r="L28" s="57"/>
      <c r="M28" s="39"/>
      <c r="N28" s="58"/>
      <c r="P28" s="113" t="s">
        <v>160</v>
      </c>
      <c r="Q28" s="12" t="s">
        <v>177</v>
      </c>
      <c r="Y28" s="1"/>
      <c r="Z28" s="1"/>
      <c r="AA28" s="1"/>
      <c r="AB28" s="1"/>
      <c r="AC28" s="1"/>
      <c r="AD28" s="1"/>
      <c r="AE28" s="1"/>
      <c r="AF28" s="1"/>
      <c r="AG28" s="1"/>
      <c r="AH28" s="1"/>
      <c r="AI28" s="114">
        <f>$I28</f>
        <v>0.86</v>
      </c>
      <c r="AJ28" s="60"/>
      <c r="AK28" s="115">
        <f>$I28</f>
        <v>0.86</v>
      </c>
      <c r="AL28" s="62"/>
      <c r="AM28" s="116">
        <f>$I28</f>
        <v>0.86</v>
      </c>
      <c r="AN28" s="64"/>
      <c r="AO28" s="117">
        <f>$I28</f>
        <v>0.86</v>
      </c>
      <c r="AP28" s="66"/>
      <c r="AQ28" s="118">
        <f>$I28</f>
        <v>0.86</v>
      </c>
      <c r="AR28" s="68"/>
      <c r="AS28" s="1"/>
      <c r="AT28" s="1"/>
      <c r="AU28" s="1"/>
      <c r="AV28" s="1"/>
      <c r="AW28" s="1"/>
      <c r="AX28" s="1"/>
      <c r="AY28" s="1"/>
      <c r="AZ28" s="1"/>
    </row>
    <row r="29" spans="1:52" s="12" customFormat="1" ht="14.4" customHeight="1" x14ac:dyDescent="0.3">
      <c r="A29" s="1"/>
      <c r="B29" s="1"/>
      <c r="C29" s="1"/>
      <c r="D29" s="1"/>
      <c r="E29" s="1"/>
      <c r="F29" s="1"/>
      <c r="G29" s="1"/>
      <c r="H29" s="1" t="s">
        <v>202</v>
      </c>
      <c r="I29" s="44">
        <v>115</v>
      </c>
      <c r="J29" s="71" t="s">
        <v>62</v>
      </c>
      <c r="K29" s="72"/>
      <c r="L29" s="73"/>
      <c r="M29" s="74"/>
      <c r="N29" s="75"/>
      <c r="P29" s="113" t="s">
        <v>161</v>
      </c>
      <c r="Q29" s="12" t="s">
        <v>178</v>
      </c>
      <c r="Y29" s="1"/>
      <c r="Z29" s="1"/>
      <c r="AA29" s="1"/>
      <c r="AB29" s="1"/>
      <c r="AC29" s="1"/>
      <c r="AD29" s="1"/>
      <c r="AE29" s="1"/>
      <c r="AF29" s="1"/>
      <c r="AG29" s="1"/>
      <c r="AH29" s="1"/>
      <c r="AI29" s="119">
        <f>$I29</f>
        <v>115</v>
      </c>
      <c r="AJ29" s="78"/>
      <c r="AK29" s="120">
        <f>$I29</f>
        <v>115</v>
      </c>
      <c r="AL29" s="80"/>
      <c r="AM29" s="121">
        <f>$I29</f>
        <v>115</v>
      </c>
      <c r="AN29" s="82"/>
      <c r="AO29" s="122">
        <f>$I29</f>
        <v>115</v>
      </c>
      <c r="AP29" s="84"/>
      <c r="AQ29" s="123">
        <f>$I29</f>
        <v>115</v>
      </c>
      <c r="AR29" s="86"/>
      <c r="AS29" s="1"/>
      <c r="AT29" s="1"/>
      <c r="AU29" s="1"/>
      <c r="AV29" s="1"/>
      <c r="AW29" s="1"/>
      <c r="AX29" s="1"/>
      <c r="AY29" s="1"/>
      <c r="AZ29" s="1"/>
    </row>
    <row r="30" spans="1:52" s="12" customFormat="1" ht="14.4" customHeight="1" x14ac:dyDescent="0.3">
      <c r="A30" s="1"/>
      <c r="B30" s="1"/>
      <c r="C30" s="1"/>
      <c r="D30" s="1"/>
      <c r="E30" s="1"/>
      <c r="F30" s="1"/>
      <c r="G30" s="1"/>
      <c r="H30" s="1" t="s">
        <v>203</v>
      </c>
      <c r="I30" s="44">
        <v>21</v>
      </c>
      <c r="J30" s="45" t="s">
        <v>57</v>
      </c>
      <c r="K30" s="46"/>
      <c r="L30" s="47"/>
      <c r="M30" s="48"/>
      <c r="N30" s="49"/>
      <c r="P30" s="113" t="s">
        <v>162</v>
      </c>
      <c r="Q30" s="12" t="s">
        <v>152</v>
      </c>
      <c r="Y30" s="1"/>
      <c r="Z30" s="1"/>
      <c r="AA30" s="1"/>
      <c r="AB30" s="1"/>
      <c r="AC30" s="1"/>
      <c r="AD30" s="1"/>
      <c r="AE30" s="1"/>
      <c r="AF30" s="1"/>
      <c r="AG30" s="1"/>
      <c r="AH30" s="1"/>
      <c r="AI30" s="124">
        <f>$I30</f>
        <v>21</v>
      </c>
      <c r="AJ30" s="91"/>
      <c r="AK30" s="125">
        <f>$I30</f>
        <v>21</v>
      </c>
      <c r="AL30" s="93"/>
      <c r="AM30" s="126">
        <f>$I30</f>
        <v>21</v>
      </c>
      <c r="AN30" s="95"/>
      <c r="AO30" s="127">
        <f>$I30</f>
        <v>21</v>
      </c>
      <c r="AP30" s="97"/>
      <c r="AQ30" s="128">
        <f>$I30</f>
        <v>21</v>
      </c>
      <c r="AR30" s="99"/>
      <c r="AS30" s="1"/>
      <c r="AT30" s="1"/>
      <c r="AU30" s="1"/>
      <c r="AV30" s="1"/>
      <c r="AW30" s="1"/>
      <c r="AX30" s="1"/>
      <c r="AY30" s="1"/>
      <c r="AZ30" s="1"/>
    </row>
    <row r="31" spans="1:52" s="12" customFormat="1" ht="14.4" customHeight="1" x14ac:dyDescent="0.3">
      <c r="A31" s="1"/>
      <c r="B31" s="1"/>
      <c r="C31" s="1"/>
      <c r="D31" s="1"/>
      <c r="E31" s="1"/>
      <c r="F31" s="1"/>
      <c r="G31" s="1"/>
      <c r="H31" s="1" t="s">
        <v>204</v>
      </c>
      <c r="I31" s="44">
        <v>39</v>
      </c>
      <c r="J31" s="56" t="s">
        <v>60</v>
      </c>
      <c r="K31" s="22"/>
      <c r="L31" s="57"/>
      <c r="M31" s="39"/>
      <c r="N31" s="58"/>
      <c r="P31" s="113" t="s">
        <v>163</v>
      </c>
      <c r="Q31" s="12" t="s">
        <v>153</v>
      </c>
      <c r="Y31" s="1"/>
      <c r="Z31" s="1"/>
      <c r="AA31" s="1"/>
      <c r="AB31" s="1"/>
      <c r="AC31" s="1"/>
      <c r="AD31" s="1"/>
      <c r="AE31" s="1"/>
      <c r="AF31" s="1"/>
      <c r="AG31" s="1"/>
      <c r="AH31" s="1"/>
      <c r="AI31" s="59">
        <f>O59</f>
        <v>39</v>
      </c>
      <c r="AJ31" s="60"/>
      <c r="AK31" s="61">
        <f>Q59</f>
        <v>39</v>
      </c>
      <c r="AL31" s="62"/>
      <c r="AM31" s="63">
        <f>S59</f>
        <v>39</v>
      </c>
      <c r="AN31" s="64"/>
      <c r="AO31" s="65">
        <f>U59</f>
        <v>39</v>
      </c>
      <c r="AP31" s="66"/>
      <c r="AQ31" s="67">
        <f>W59</f>
        <v>39</v>
      </c>
      <c r="AR31" s="68"/>
      <c r="AS31" s="1"/>
      <c r="AT31" s="1"/>
      <c r="AU31" s="1"/>
      <c r="AV31" s="1"/>
      <c r="AW31" s="1"/>
      <c r="AX31" s="1"/>
      <c r="AY31" s="1"/>
      <c r="AZ31" s="1"/>
    </row>
    <row r="32" spans="1:52" s="12" customFormat="1" ht="14.4" customHeight="1" x14ac:dyDescent="0.3">
      <c r="A32" s="1282" t="s">
        <v>240</v>
      </c>
      <c r="B32" s="1283"/>
      <c r="C32" s="1"/>
      <c r="D32" s="1"/>
      <c r="E32" s="1"/>
      <c r="F32" s="1"/>
      <c r="G32" s="1"/>
      <c r="H32" s="1" t="s">
        <v>205</v>
      </c>
      <c r="I32" s="129">
        <f>(365/I27)-I29-I30</f>
        <v>44.066666666666663</v>
      </c>
      <c r="J32" s="130" t="s">
        <v>79</v>
      </c>
      <c r="K32" s="131"/>
      <c r="L32" s="132"/>
      <c r="M32" s="133"/>
      <c r="N32" s="75"/>
      <c r="P32" s="113" t="s">
        <v>164</v>
      </c>
      <c r="Q32" s="12" t="s">
        <v>154</v>
      </c>
      <c r="Y32" s="1"/>
      <c r="Z32" s="1"/>
      <c r="AA32" s="1"/>
      <c r="AB32" s="1"/>
      <c r="AC32" s="1"/>
      <c r="AD32" s="1"/>
      <c r="AE32" s="1"/>
      <c r="AF32" s="1"/>
      <c r="AG32" s="1"/>
      <c r="AH32" s="1"/>
      <c r="AI32" s="134">
        <f>(365/AI27)-AI29-AI30</f>
        <v>44.066666666666663</v>
      </c>
      <c r="AJ32" s="78"/>
      <c r="AK32" s="135">
        <f>(365/AK27)-AK29-AK30</f>
        <v>44.066666666666663</v>
      </c>
      <c r="AL32" s="80"/>
      <c r="AM32" s="136">
        <f>(365/AM27)-AM29-AM30</f>
        <v>44.066666666666663</v>
      </c>
      <c r="AN32" s="82"/>
      <c r="AO32" s="137">
        <f>(365/AO27)-AO29-AO30</f>
        <v>44.066666666666663</v>
      </c>
      <c r="AP32" s="84"/>
      <c r="AQ32" s="138">
        <f>(365/AQ27)-AQ29-AQ30</f>
        <v>44.066666666666663</v>
      </c>
      <c r="AR32" s="86"/>
      <c r="AS32" s="1"/>
      <c r="AT32" s="1"/>
      <c r="AU32" s="1"/>
      <c r="AV32" s="1"/>
      <c r="AW32" s="1"/>
      <c r="AX32" s="1"/>
      <c r="AY32" s="1"/>
      <c r="AZ32" s="1"/>
    </row>
    <row r="33" spans="1:52" s="12" customFormat="1" ht="14.4" customHeight="1" x14ac:dyDescent="0.3">
      <c r="A33" s="1284" t="s">
        <v>250</v>
      </c>
      <c r="B33" s="1285"/>
      <c r="C33" s="1285"/>
      <c r="D33" s="1286"/>
      <c r="E33" s="1"/>
      <c r="F33" s="40"/>
      <c r="G33" s="40"/>
      <c r="H33" s="1" t="s">
        <v>206</v>
      </c>
      <c r="I33" s="106">
        <f>I29+I30+I32</f>
        <v>180.06666666666666</v>
      </c>
      <c r="J33" s="45" t="s">
        <v>58</v>
      </c>
      <c r="K33" s="46"/>
      <c r="L33" s="47"/>
      <c r="M33" s="48"/>
      <c r="N33" s="49"/>
      <c r="P33" s="113" t="s">
        <v>165</v>
      </c>
      <c r="Q33" s="12" t="s">
        <v>256</v>
      </c>
      <c r="Y33" s="1"/>
      <c r="Z33" s="1"/>
      <c r="AA33" s="1"/>
      <c r="AB33" s="1"/>
      <c r="AC33" s="1"/>
      <c r="AD33" s="1"/>
      <c r="AE33" s="1"/>
      <c r="AF33" s="1"/>
      <c r="AG33" s="1"/>
      <c r="AH33" s="1"/>
      <c r="AI33" s="139">
        <f>AI29+AI30+AI32</f>
        <v>180.06666666666666</v>
      </c>
      <c r="AJ33" s="91"/>
      <c r="AK33" s="140">
        <f>AK29+AK30+AK32</f>
        <v>180.06666666666666</v>
      </c>
      <c r="AL33" s="93"/>
      <c r="AM33" s="141">
        <f>AM29+AM30+AM32</f>
        <v>180.06666666666666</v>
      </c>
      <c r="AN33" s="95"/>
      <c r="AO33" s="142">
        <f>AO29+AO30+AO32</f>
        <v>180.06666666666666</v>
      </c>
      <c r="AP33" s="97"/>
      <c r="AQ33" s="143">
        <f>AQ29+AQ30+AQ32</f>
        <v>180.06666666666666</v>
      </c>
      <c r="AR33" s="99"/>
      <c r="AS33" s="1"/>
      <c r="AT33" s="1"/>
      <c r="AU33" s="1"/>
      <c r="AV33" s="1"/>
      <c r="AW33" s="1"/>
      <c r="AX33" s="1"/>
      <c r="AY33" s="1"/>
      <c r="AZ33" s="1"/>
    </row>
    <row r="34" spans="1:52" s="12" customFormat="1" ht="14.4" customHeight="1" x14ac:dyDescent="0.3">
      <c r="A34" s="1"/>
      <c r="B34" s="1"/>
      <c r="C34" s="1"/>
      <c r="D34" s="1"/>
      <c r="E34" s="1"/>
      <c r="F34" s="40"/>
      <c r="G34" s="40"/>
      <c r="H34" s="1" t="s">
        <v>207</v>
      </c>
      <c r="I34" s="106">
        <f>I30/365*I27*I21</f>
        <v>139.94816734542763</v>
      </c>
      <c r="J34" s="56" t="s">
        <v>61</v>
      </c>
      <c r="K34" s="22"/>
      <c r="L34" s="57"/>
      <c r="M34" s="39"/>
      <c r="N34" s="58"/>
      <c r="P34" s="113" t="s">
        <v>166</v>
      </c>
      <c r="Q34" s="12" t="s">
        <v>172</v>
      </c>
      <c r="Y34" s="1"/>
      <c r="Z34" s="1"/>
      <c r="AA34" s="1"/>
      <c r="AB34" s="1"/>
      <c r="AC34" s="1"/>
      <c r="AD34" s="1"/>
      <c r="AE34" s="1"/>
      <c r="AF34" s="1"/>
      <c r="AG34" s="1"/>
      <c r="AH34" s="1"/>
      <c r="AI34" s="144">
        <f>AI30/365*AI27*AI21</f>
        <v>139.94816734542763</v>
      </c>
      <c r="AJ34" s="60"/>
      <c r="AK34" s="145">
        <f>AK30/365*AK27*AK21</f>
        <v>139.94816734542763</v>
      </c>
      <c r="AL34" s="62"/>
      <c r="AM34" s="146">
        <f>AM30/365*AM27*AM21</f>
        <v>139.94816734542763</v>
      </c>
      <c r="AN34" s="64"/>
      <c r="AO34" s="147">
        <f>AO30/365*AO27*AO21</f>
        <v>139.94816734542763</v>
      </c>
      <c r="AP34" s="66"/>
      <c r="AQ34" s="148">
        <f>AQ30/365*AQ27*AQ21</f>
        <v>139.94816734542763</v>
      </c>
      <c r="AR34" s="68"/>
      <c r="AS34" s="1"/>
      <c r="AT34" s="1"/>
      <c r="AU34" s="1"/>
      <c r="AV34" s="1"/>
      <c r="AW34" s="1"/>
      <c r="AX34" s="1"/>
      <c r="AY34" s="1"/>
      <c r="AZ34" s="1"/>
    </row>
    <row r="35" spans="1:52" s="12" customFormat="1" ht="14.4" customHeight="1" x14ac:dyDescent="0.3">
      <c r="A35" s="1"/>
      <c r="B35" s="1"/>
      <c r="C35" s="1"/>
      <c r="D35" s="1"/>
      <c r="E35" s="149"/>
      <c r="F35" s="40"/>
      <c r="G35" s="40"/>
      <c r="H35" s="1" t="s">
        <v>208</v>
      </c>
      <c r="I35" s="106">
        <f>(I33-I30)*I21*I27/365</f>
        <v>1060.0518326545725</v>
      </c>
      <c r="J35" s="71" t="s">
        <v>91</v>
      </c>
      <c r="K35" s="72"/>
      <c r="L35" s="73"/>
      <c r="M35" s="74"/>
      <c r="N35" s="75"/>
      <c r="P35" s="113" t="s">
        <v>167</v>
      </c>
      <c r="Q35" s="12" t="s">
        <v>173</v>
      </c>
      <c r="Y35" s="1"/>
      <c r="Z35" s="1"/>
      <c r="AA35" s="1"/>
      <c r="AB35" s="1"/>
      <c r="AC35" s="1"/>
      <c r="AD35" s="1"/>
      <c r="AE35" s="1"/>
      <c r="AF35" s="1"/>
      <c r="AG35" s="1"/>
      <c r="AH35" s="1"/>
      <c r="AI35" s="107">
        <f>(AI33-AI30)*AI21*AI27/365</f>
        <v>1060.0518326545725</v>
      </c>
      <c r="AJ35" s="119"/>
      <c r="AK35" s="108">
        <f>(AK33-AK30)*AK21*AK27/365</f>
        <v>1060.0518326545725</v>
      </c>
      <c r="AL35" s="120"/>
      <c r="AM35" s="109">
        <f>(AM33-AM30)*AM21*AM27/365</f>
        <v>1060.0518326545725</v>
      </c>
      <c r="AN35" s="121"/>
      <c r="AO35" s="150">
        <f>(AO33-AO30)*AO21*AO27/365</f>
        <v>1060.0518326545725</v>
      </c>
      <c r="AP35" s="122"/>
      <c r="AQ35" s="111">
        <f>(AQ33-AQ30)*AQ21*AQ27/365</f>
        <v>1060.0518326545725</v>
      </c>
      <c r="AR35" s="86"/>
      <c r="AS35" s="1"/>
      <c r="AT35" s="1"/>
      <c r="AU35" s="1"/>
      <c r="AV35" s="1"/>
      <c r="AW35" s="1"/>
      <c r="AX35" s="1"/>
      <c r="AY35" s="1"/>
      <c r="AZ35" s="1"/>
    </row>
    <row r="36" spans="1:52" s="12" customFormat="1" ht="14.4" customHeight="1" x14ac:dyDescent="0.3">
      <c r="A36" s="1"/>
      <c r="B36" s="1"/>
      <c r="C36" s="1"/>
      <c r="D36" s="1"/>
      <c r="E36" s="151"/>
      <c r="F36" s="1"/>
      <c r="G36" s="1"/>
      <c r="H36" s="1" t="s">
        <v>209</v>
      </c>
      <c r="I36" s="152">
        <f>I21-I34-I37-I38</f>
        <v>727.37504627915564</v>
      </c>
      <c r="J36" s="153" t="s">
        <v>94</v>
      </c>
      <c r="K36" s="154"/>
      <c r="L36" s="155"/>
      <c r="M36" s="48"/>
      <c r="N36" s="49"/>
      <c r="P36" s="113" t="s">
        <v>168</v>
      </c>
      <c r="Q36" s="12" t="s">
        <v>174</v>
      </c>
      <c r="Y36" s="1"/>
      <c r="Z36" s="1"/>
      <c r="AA36" s="1"/>
      <c r="AB36" s="1"/>
      <c r="AC36" s="1"/>
      <c r="AD36" s="1"/>
      <c r="AE36" s="1"/>
      <c r="AF36" s="1"/>
      <c r="AG36" s="1"/>
      <c r="AH36" s="1"/>
      <c r="AI36" s="156">
        <f>AI21-AI34-AI37-AI38</f>
        <v>727.37504627915564</v>
      </c>
      <c r="AJ36" s="157"/>
      <c r="AK36" s="158">
        <f>AK21-AK34-AK37-AK38</f>
        <v>727.37504627915564</v>
      </c>
      <c r="AL36" s="159"/>
      <c r="AM36" s="160">
        <f>AM21-AM34-AM37-AM38</f>
        <v>727.37504627915564</v>
      </c>
      <c r="AN36" s="161"/>
      <c r="AO36" s="162">
        <f>AO21-AO34-AO37-AO38</f>
        <v>727.37504627915564</v>
      </c>
      <c r="AP36" s="163"/>
      <c r="AQ36" s="164">
        <f>AQ21-AQ34-AQ37-AQ38</f>
        <v>727.37504627915564</v>
      </c>
      <c r="AR36" s="99"/>
      <c r="AS36" s="1"/>
      <c r="AT36" s="1"/>
      <c r="AU36" s="1"/>
      <c r="AV36" s="1"/>
      <c r="AW36" s="1"/>
      <c r="AX36" s="1"/>
      <c r="AY36" s="1"/>
      <c r="AZ36" s="1"/>
    </row>
    <row r="37" spans="1:52" s="12" customFormat="1" ht="14.4" customHeight="1" x14ac:dyDescent="0.3">
      <c r="A37" s="1"/>
      <c r="B37" s="1"/>
      <c r="C37" s="1"/>
      <c r="D37" s="1"/>
      <c r="E37" s="1"/>
      <c r="F37" s="1"/>
      <c r="G37" s="1"/>
      <c r="H37" s="1" t="s">
        <v>210</v>
      </c>
      <c r="I37" s="152">
        <f>(I25*(1+(1-I28)))*(I31/7)</f>
        <v>296.29026286560537</v>
      </c>
      <c r="J37" s="165" t="s">
        <v>120</v>
      </c>
      <c r="K37" s="166"/>
      <c r="L37" s="167"/>
      <c r="M37" s="39"/>
      <c r="N37" s="58"/>
      <c r="P37" s="113" t="s">
        <v>169</v>
      </c>
      <c r="Q37" s="12" t="s">
        <v>175</v>
      </c>
      <c r="Y37" s="1"/>
      <c r="Z37" s="1"/>
      <c r="AA37" s="1"/>
      <c r="AB37" s="1"/>
      <c r="AC37" s="1"/>
      <c r="AD37" s="1"/>
      <c r="AE37" s="1"/>
      <c r="AF37" s="1"/>
      <c r="AG37" s="1"/>
      <c r="AH37" s="1"/>
      <c r="AI37" s="168">
        <f>(AI25*(1+(1-AI28)))*(AI31/7)</f>
        <v>296.29026286560537</v>
      </c>
      <c r="AJ37" s="169"/>
      <c r="AK37" s="170">
        <f>(AK25*(1+(1-AK28)))*(AK31/7)</f>
        <v>296.29026286560537</v>
      </c>
      <c r="AL37" s="171"/>
      <c r="AM37" s="172">
        <f>(AM25*(1+(1-AM28)))*(AM31/7)</f>
        <v>296.29026286560537</v>
      </c>
      <c r="AN37" s="173"/>
      <c r="AO37" s="174">
        <f>(AO25*(1+(1-AO28)))*(AO31/7)</f>
        <v>296.29026286560537</v>
      </c>
      <c r="AP37" s="175"/>
      <c r="AQ37" s="176">
        <f>(AQ25*(1+(1-AQ28)))*(AQ31/7)</f>
        <v>296.29026286560537</v>
      </c>
      <c r="AR37" s="68"/>
      <c r="AS37" s="1"/>
      <c r="AT37" s="1"/>
      <c r="AU37" s="1"/>
      <c r="AV37" s="1"/>
      <c r="AW37" s="1"/>
      <c r="AX37" s="1"/>
      <c r="AY37" s="1"/>
      <c r="AZ37" s="1"/>
    </row>
    <row r="38" spans="1:52" s="12" customFormat="1" ht="14.4" customHeight="1" x14ac:dyDescent="0.3">
      <c r="A38" s="40"/>
      <c r="B38" s="1"/>
      <c r="C38" s="1"/>
      <c r="D38" s="1"/>
      <c r="E38" s="40"/>
      <c r="F38" s="1"/>
      <c r="G38" s="1"/>
      <c r="H38" s="1" t="s">
        <v>211</v>
      </c>
      <c r="I38" s="152">
        <f>(1-I28)*(I31/365*I27*I21)</f>
        <v>36.386523509811191</v>
      </c>
      <c r="J38" s="177" t="s">
        <v>98</v>
      </c>
      <c r="K38" s="178"/>
      <c r="L38" s="179"/>
      <c r="M38" s="74"/>
      <c r="N38" s="75"/>
      <c r="P38" s="113" t="s">
        <v>170</v>
      </c>
      <c r="Q38" s="12" t="s">
        <v>257</v>
      </c>
      <c r="Y38" s="1"/>
      <c r="Z38" s="1"/>
      <c r="AA38" s="1"/>
      <c r="AB38" s="1"/>
      <c r="AC38" s="1"/>
      <c r="AD38" s="1"/>
      <c r="AE38" s="1"/>
      <c r="AF38" s="1"/>
      <c r="AG38" s="1"/>
      <c r="AH38" s="1"/>
      <c r="AI38" s="180">
        <f>(1-AI28)*(AI31/365*AI27*AI21)</f>
        <v>36.386523509811191</v>
      </c>
      <c r="AJ38" s="181"/>
      <c r="AK38" s="182">
        <f>(1-AK28)*(AK31/365*AK27*AK21)</f>
        <v>36.386523509811191</v>
      </c>
      <c r="AL38" s="183"/>
      <c r="AM38" s="184">
        <f>(1-AM28)*(AM31/365*AM27*AM21)</f>
        <v>36.386523509811191</v>
      </c>
      <c r="AN38" s="185"/>
      <c r="AO38" s="186">
        <f>(1-AO28)*(AO31/365*AO27*AO21)</f>
        <v>36.386523509811191</v>
      </c>
      <c r="AP38" s="187"/>
      <c r="AQ38" s="188">
        <f>(1-AQ28)*(AQ31/365*AQ27*AQ21)</f>
        <v>36.386523509811191</v>
      </c>
      <c r="AR38" s="86"/>
      <c r="AS38" s="1"/>
      <c r="AT38" s="1"/>
      <c r="AU38" s="1"/>
      <c r="AV38" s="1"/>
      <c r="AW38" s="1"/>
      <c r="AX38" s="1"/>
      <c r="AY38" s="1"/>
      <c r="AZ38" s="1"/>
    </row>
    <row r="39" spans="1:52" s="12" customFormat="1" ht="14.4" customHeight="1" x14ac:dyDescent="0.3">
      <c r="A39" s="1"/>
      <c r="B39" s="1"/>
      <c r="C39" s="1"/>
      <c r="D39" s="1"/>
      <c r="E39" s="151"/>
      <c r="F39" s="1"/>
      <c r="G39" s="1"/>
      <c r="H39" s="1" t="s">
        <v>212</v>
      </c>
      <c r="I39" s="189">
        <f>I34+I37+I38+I36</f>
        <v>1199.9999999999998</v>
      </c>
      <c r="J39" s="190" t="s">
        <v>78</v>
      </c>
      <c r="K39" s="191"/>
      <c r="L39" s="192"/>
      <c r="M39" s="193"/>
      <c r="N39" s="194"/>
      <c r="P39" s="113" t="s">
        <v>171</v>
      </c>
      <c r="Q39" s="12" t="s">
        <v>176</v>
      </c>
      <c r="R39" s="1"/>
      <c r="S39" s="1"/>
      <c r="Y39" s="1"/>
      <c r="Z39" s="1"/>
      <c r="AA39" s="1"/>
      <c r="AB39" s="1"/>
      <c r="AC39" s="1"/>
      <c r="AD39" s="1"/>
      <c r="AE39" s="1"/>
      <c r="AF39" s="1"/>
      <c r="AG39" s="1"/>
      <c r="AH39" s="1"/>
      <c r="AI39" s="195">
        <f>AI34+AI37+AI38+AI36</f>
        <v>1199.9999999999998</v>
      </c>
      <c r="AJ39" s="196"/>
      <c r="AK39" s="197">
        <f>AK34+AK37+AK38+AK36</f>
        <v>1199.9999999999998</v>
      </c>
      <c r="AL39" s="198"/>
      <c r="AM39" s="199">
        <f>AM34+AM37+AM38+AM36</f>
        <v>1199.9999999999998</v>
      </c>
      <c r="AN39" s="200"/>
      <c r="AO39" s="201">
        <f>AO34+AO37+AO38+AO36</f>
        <v>1199.9999999999998</v>
      </c>
      <c r="AP39" s="202"/>
      <c r="AQ39" s="203">
        <f>AQ34+AQ37+AQ38+AQ36</f>
        <v>1199.9999999999998</v>
      </c>
      <c r="AR39" s="204"/>
      <c r="AS39" s="1"/>
      <c r="AT39" s="1"/>
      <c r="AU39" s="1"/>
      <c r="AV39" s="1"/>
      <c r="AW39" s="1"/>
      <c r="AX39" s="1"/>
      <c r="AY39" s="1"/>
      <c r="AZ39" s="1"/>
    </row>
    <row r="40" spans="1:52" s="12" customFormat="1" ht="14.4" customHeight="1" x14ac:dyDescent="0.3">
      <c r="A40" s="1"/>
      <c r="B40" s="1"/>
      <c r="C40" s="1"/>
      <c r="D40" s="1"/>
      <c r="E40" s="1"/>
      <c r="F40" s="1"/>
      <c r="G40" s="1"/>
      <c r="H40" s="1"/>
      <c r="I40" s="151"/>
      <c r="J40" s="1"/>
      <c r="K40" s="1"/>
      <c r="L40" s="37"/>
      <c r="M40" s="205"/>
      <c r="N40" s="38"/>
      <c r="O40" s="151"/>
      <c r="P40" s="113" t="s">
        <v>180</v>
      </c>
      <c r="Q40" s="1" t="s">
        <v>179</v>
      </c>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s="12" customFormat="1" ht="14.4" customHeight="1" x14ac:dyDescent="0.3">
      <c r="A41" s="1"/>
      <c r="B41" s="42" t="s">
        <v>224</v>
      </c>
      <c r="C41" s="1"/>
      <c r="D41" s="1"/>
      <c r="E41" s="1"/>
      <c r="F41" s="1"/>
      <c r="G41" s="1"/>
      <c r="H41" s="1"/>
      <c r="I41" s="1"/>
      <c r="J41" s="1"/>
      <c r="K41" s="1"/>
      <c r="L41" s="37"/>
      <c r="M41" s="38"/>
      <c r="N41" s="38"/>
      <c r="O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s="12" customFormat="1" ht="14.4" customHeight="1" x14ac:dyDescent="0.3">
      <c r="A42" s="1"/>
      <c r="B42" s="1"/>
      <c r="C42" s="206"/>
      <c r="D42" s="206"/>
      <c r="E42" s="1"/>
      <c r="F42" s="1"/>
      <c r="G42" s="1"/>
      <c r="H42" s="1"/>
      <c r="I42" s="1121">
        <v>0.08</v>
      </c>
      <c r="J42" s="27" t="s">
        <v>85</v>
      </c>
      <c r="K42" s="1"/>
      <c r="L42" s="37"/>
      <c r="N42" s="207"/>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s="12" customFormat="1" ht="14.4" customHeight="1" x14ac:dyDescent="0.3">
      <c r="A43" s="1"/>
      <c r="B43" s="1"/>
      <c r="C43" s="1"/>
      <c r="D43" s="1"/>
      <c r="E43" s="207" t="s">
        <v>88</v>
      </c>
      <c r="F43" s="1"/>
      <c r="G43" s="1"/>
      <c r="H43" s="1"/>
      <c r="I43" s="1"/>
      <c r="J43" s="1"/>
      <c r="K43" s="1"/>
      <c r="L43" s="37"/>
      <c r="M43" s="38"/>
      <c r="N43" s="38"/>
      <c r="O43" s="1"/>
      <c r="P43" s="1"/>
      <c r="Q43" s="1"/>
      <c r="R43" s="1"/>
      <c r="S43" s="1"/>
      <c r="T43" s="1"/>
      <c r="U43" s="1"/>
      <c r="V43" s="1"/>
      <c r="W43" s="1"/>
      <c r="X43" s="1"/>
      <c r="Y43" s="208"/>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s="12" customFormat="1" ht="14.4" customHeight="1" x14ac:dyDescent="0.3">
      <c r="A44" s="1"/>
      <c r="B44" s="42" t="s">
        <v>225</v>
      </c>
      <c r="C44" s="1"/>
      <c r="D44" s="1"/>
      <c r="E44" s="1"/>
      <c r="F44" s="1"/>
      <c r="G44" s="1"/>
      <c r="H44" s="1"/>
      <c r="I44" s="1"/>
      <c r="J44" s="1"/>
      <c r="K44" s="1"/>
      <c r="L44" s="37"/>
      <c r="M44" s="38"/>
      <c r="N44" s="38"/>
      <c r="O44" s="1"/>
      <c r="P44" s="1"/>
      <c r="Q44" s="1"/>
      <c r="R44" s="1"/>
      <c r="S44" s="1"/>
      <c r="T44" s="1"/>
      <c r="U44" s="209"/>
      <c r="V44" s="1"/>
      <c r="W44" s="209"/>
      <c r="X44" s="1"/>
      <c r="Y44" s="210"/>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12" customFormat="1" ht="14.4" customHeight="1" x14ac:dyDescent="0.3">
      <c r="A45" s="1"/>
      <c r="B45" s="1"/>
      <c r="C45" s="1"/>
      <c r="D45" s="1"/>
      <c r="E45" s="211"/>
      <c r="F45" s="211"/>
      <c r="G45" s="211"/>
      <c r="H45" s="1"/>
      <c r="I45" s="212" t="s">
        <v>44</v>
      </c>
      <c r="J45" s="212" t="s">
        <v>63</v>
      </c>
      <c r="K45" s="213"/>
      <c r="L45" s="37"/>
      <c r="M45" s="214"/>
      <c r="N45" s="214"/>
      <c r="O45" s="40"/>
      <c r="P45" s="40"/>
      <c r="Q45" s="40"/>
      <c r="R45" s="40"/>
      <c r="S45" s="40"/>
      <c r="T45" s="1"/>
      <c r="U45" s="37"/>
      <c r="V45" s="1"/>
      <c r="W45" s="37"/>
      <c r="X45" s="1"/>
      <c r="Y45" s="212"/>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s="12" customFormat="1" ht="14.4" customHeight="1" x14ac:dyDescent="0.3">
      <c r="A46" s="215"/>
      <c r="B46" s="46"/>
      <c r="C46" s="46"/>
      <c r="D46" s="46"/>
      <c r="E46" s="46"/>
      <c r="F46" s="46"/>
      <c r="G46" s="46"/>
      <c r="H46" s="49" t="s">
        <v>64</v>
      </c>
      <c r="I46" s="797">
        <v>3.8</v>
      </c>
      <c r="J46" s="1120">
        <v>0.8</v>
      </c>
      <c r="L46" s="37"/>
      <c r="M46" s="214"/>
      <c r="N46" s="214"/>
      <c r="O46" s="40"/>
      <c r="P46" s="40"/>
      <c r="Q46" s="40"/>
      <c r="R46" s="40"/>
      <c r="S46" s="40"/>
      <c r="T46" s="1"/>
      <c r="U46" s="37"/>
      <c r="V46" s="1"/>
      <c r="W46" s="37"/>
      <c r="X46" s="1"/>
      <c r="Y46" s="212"/>
      <c r="Z46" s="209"/>
      <c r="AA46" s="1"/>
      <c r="AB46" s="1"/>
      <c r="AC46" s="1"/>
      <c r="AD46" s="1"/>
      <c r="AE46" s="1"/>
      <c r="AF46" s="1"/>
      <c r="AG46" s="1"/>
      <c r="AH46" s="1"/>
      <c r="AI46" s="217">
        <f>J46*I46/56</f>
        <v>5.4285714285714284E-2</v>
      </c>
      <c r="AJ46" s="1"/>
      <c r="AK46" s="1"/>
      <c r="AL46" s="1"/>
      <c r="AM46" s="1"/>
      <c r="AN46" s="1"/>
      <c r="AO46" s="1"/>
      <c r="AP46" s="1"/>
      <c r="AQ46" s="1"/>
      <c r="AR46" s="1"/>
      <c r="AS46" s="1"/>
      <c r="AT46" s="1"/>
      <c r="AU46" s="1"/>
      <c r="AV46" s="1"/>
      <c r="AW46" s="1"/>
      <c r="AX46" s="1"/>
      <c r="AY46" s="1"/>
      <c r="AZ46" s="1"/>
    </row>
    <row r="47" spans="1:52" s="12" customFormat="1" ht="14.4" customHeight="1" x14ac:dyDescent="0.3">
      <c r="A47" s="218"/>
      <c r="B47" s="22"/>
      <c r="C47" s="22"/>
      <c r="D47" s="22"/>
      <c r="E47" s="22"/>
      <c r="F47" s="22"/>
      <c r="G47" s="22"/>
      <c r="H47" s="58" t="s">
        <v>65</v>
      </c>
      <c r="I47" s="797">
        <v>325</v>
      </c>
      <c r="J47" s="1120">
        <v>0.15</v>
      </c>
      <c r="L47" s="37"/>
      <c r="M47" s="214"/>
      <c r="N47" s="214"/>
      <c r="O47" s="40"/>
      <c r="P47" s="40"/>
      <c r="Q47" s="40"/>
      <c r="R47" s="40"/>
      <c r="S47" s="40"/>
      <c r="T47" s="1"/>
      <c r="U47" s="37"/>
      <c r="V47" s="1"/>
      <c r="W47" s="37"/>
      <c r="X47" s="1"/>
      <c r="Y47" s="212"/>
      <c r="Z47" s="209"/>
      <c r="AA47" s="1"/>
      <c r="AB47" s="1"/>
      <c r="AC47" s="1"/>
      <c r="AD47" s="1"/>
      <c r="AE47" s="1"/>
      <c r="AF47" s="1"/>
      <c r="AG47" s="1"/>
      <c r="AH47" s="1"/>
      <c r="AI47" s="217">
        <f>J47*I47/2000</f>
        <v>2.4375000000000001E-2</v>
      </c>
      <c r="AJ47" s="1"/>
      <c r="AK47" s="1"/>
      <c r="AL47" s="1"/>
      <c r="AM47" s="1"/>
      <c r="AN47" s="1"/>
      <c r="AO47" s="1"/>
      <c r="AP47" s="1"/>
      <c r="AQ47" s="1"/>
      <c r="AR47" s="1"/>
      <c r="AS47" s="1"/>
      <c r="AT47" s="1"/>
      <c r="AU47" s="1"/>
      <c r="AV47" s="1"/>
      <c r="AW47" s="1"/>
      <c r="AX47" s="1"/>
      <c r="AY47" s="1"/>
      <c r="AZ47" s="1"/>
    </row>
    <row r="48" spans="1:52" s="12" customFormat="1" ht="14.4" customHeight="1" x14ac:dyDescent="0.3">
      <c r="A48" s="218"/>
      <c r="B48" s="22"/>
      <c r="C48" s="22"/>
      <c r="D48" s="22"/>
      <c r="E48" s="22"/>
      <c r="F48" s="22"/>
      <c r="G48" s="22"/>
      <c r="H48" s="58" t="s">
        <v>66</v>
      </c>
      <c r="I48" s="797">
        <v>1000</v>
      </c>
      <c r="J48" s="1120">
        <v>0.05</v>
      </c>
      <c r="L48" s="37"/>
      <c r="M48" s="38"/>
      <c r="N48" s="38"/>
      <c r="O48" s="1"/>
      <c r="P48" s="1"/>
      <c r="Q48" s="1"/>
      <c r="R48" s="1"/>
      <c r="S48" s="1"/>
      <c r="T48" s="1"/>
      <c r="U48" s="1"/>
      <c r="V48" s="1"/>
      <c r="W48" s="1"/>
      <c r="X48" s="1"/>
      <c r="Y48" s="1"/>
      <c r="Z48" s="1"/>
      <c r="AA48" s="1"/>
      <c r="AB48" s="1"/>
      <c r="AC48" s="1"/>
      <c r="AD48" s="1"/>
      <c r="AE48" s="1"/>
      <c r="AF48" s="1"/>
      <c r="AG48" s="1"/>
      <c r="AH48" s="1"/>
      <c r="AI48" s="217">
        <f>0.05*I48/2000</f>
        <v>2.5000000000000001E-2</v>
      </c>
      <c r="AJ48" s="1"/>
      <c r="AK48" s="1"/>
      <c r="AL48" s="1"/>
      <c r="AM48" s="1"/>
      <c r="AN48" s="1"/>
      <c r="AO48" s="1"/>
      <c r="AP48" s="1"/>
      <c r="AQ48" s="1"/>
      <c r="AR48" s="1"/>
      <c r="AS48" s="1"/>
      <c r="AT48" s="1"/>
      <c r="AU48" s="1"/>
      <c r="AV48" s="1"/>
      <c r="AW48" s="1"/>
      <c r="AX48" s="1"/>
      <c r="AY48" s="1"/>
      <c r="AZ48" s="1"/>
    </row>
    <row r="49" spans="1:52" s="12" customFormat="1" ht="14.4" customHeight="1" x14ac:dyDescent="0.3">
      <c r="A49" s="218"/>
      <c r="B49" s="22"/>
      <c r="C49" s="22"/>
      <c r="D49" s="22"/>
      <c r="E49" s="22"/>
      <c r="F49" s="22"/>
      <c r="G49" s="22"/>
      <c r="H49" s="58" t="s">
        <v>96</v>
      </c>
      <c r="I49" s="798">
        <f>AI46+AI47+AI48</f>
        <v>0.10366071428571427</v>
      </c>
      <c r="J49" s="1"/>
      <c r="K49" s="1"/>
      <c r="L49" s="37"/>
      <c r="M49" s="38"/>
      <c r="N49" s="38"/>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s="12" customFormat="1" ht="14.4" customHeight="1" x14ac:dyDescent="0.3">
      <c r="A50" s="219"/>
      <c r="B50" s="72"/>
      <c r="C50" s="72"/>
      <c r="D50" s="72"/>
      <c r="E50" s="220"/>
      <c r="F50" s="72"/>
      <c r="G50" s="72"/>
      <c r="H50" s="221" t="s">
        <v>97</v>
      </c>
      <c r="I50" s="222">
        <v>0.11</v>
      </c>
      <c r="J50" s="1"/>
      <c r="K50" s="223"/>
      <c r="L50" s="224"/>
      <c r="M50" s="214"/>
      <c r="N50" s="214"/>
      <c r="O50" s="1"/>
      <c r="P50" s="1"/>
      <c r="Q50" s="40"/>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s="12" customFormat="1" ht="14.4" customHeight="1" x14ac:dyDescent="0.3">
      <c r="A51" s="1"/>
      <c r="B51" s="1"/>
      <c r="C51" s="1"/>
      <c r="D51" s="1"/>
      <c r="E51" s="40"/>
      <c r="F51" s="1"/>
      <c r="G51" s="1"/>
      <c r="H51" s="225"/>
      <c r="I51" s="225"/>
      <c r="J51" s="1"/>
      <c r="K51" s="223"/>
      <c r="L51" s="224"/>
      <c r="M51" s="38"/>
      <c r="N51" s="38"/>
      <c r="O51" s="225"/>
      <c r="P51" s="225"/>
      <c r="Q51" s="1"/>
      <c r="R51" s="1"/>
      <c r="S51" s="1"/>
      <c r="T51" s="1"/>
      <c r="U51" s="1"/>
      <c r="V51" s="1"/>
      <c r="W51" s="1"/>
      <c r="X51" s="1"/>
      <c r="Y51" s="226"/>
      <c r="Z51" s="226"/>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s="12" customFormat="1" ht="14.4" customHeight="1" x14ac:dyDescent="0.3">
      <c r="A52" s="1"/>
      <c r="B52" s="1"/>
      <c r="C52" s="1"/>
      <c r="D52" s="1"/>
      <c r="E52" s="40"/>
      <c r="F52" s="1"/>
      <c r="G52" s="1"/>
      <c r="H52" s="225"/>
      <c r="I52" s="225"/>
      <c r="J52" s="1"/>
      <c r="K52" s="223"/>
      <c r="L52" s="224"/>
      <c r="M52" s="38"/>
      <c r="N52" s="38"/>
      <c r="O52" s="225"/>
      <c r="P52" s="225"/>
      <c r="Q52" s="1"/>
      <c r="R52" s="1"/>
      <c r="S52" s="1"/>
      <c r="T52" s="1"/>
      <c r="U52" s="1"/>
      <c r="V52" s="1"/>
      <c r="W52" s="1"/>
      <c r="X52" s="1"/>
      <c r="Y52" s="226"/>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s="12" customFormat="1" ht="14.4" customHeight="1" x14ac:dyDescent="0.3">
      <c r="A53" s="1"/>
      <c r="B53" s="227"/>
      <c r="C53" s="228"/>
      <c r="D53" s="228"/>
      <c r="E53" s="228"/>
      <c r="F53" s="228"/>
      <c r="G53" s="228"/>
      <c r="H53" s="229" t="s">
        <v>84</v>
      </c>
      <c r="I53" s="230">
        <f>IF(AA54=FALSE,I49,I50)</f>
        <v>0.11</v>
      </c>
      <c r="J53" s="223"/>
      <c r="K53" s="223"/>
      <c r="L53" s="223"/>
      <c r="M53" s="223"/>
      <c r="N53" s="223"/>
      <c r="O53" s="223"/>
      <c r="P53" s="223"/>
      <c r="Q53" s="223"/>
      <c r="R53" s="223"/>
      <c r="S53" s="1"/>
      <c r="T53" s="1"/>
      <c r="U53" s="1"/>
      <c r="V53" s="1"/>
      <c r="W53" s="1"/>
      <c r="X53" s="1"/>
      <c r="Y53" s="231"/>
      <c r="Z53" s="1"/>
      <c r="AA53" s="1"/>
      <c r="AB53" s="1"/>
      <c r="AC53" s="1"/>
      <c r="AD53" s="1"/>
      <c r="AE53" s="1"/>
      <c r="AF53" s="1"/>
      <c r="AG53" s="1"/>
      <c r="AH53" s="1"/>
      <c r="AI53" s="1"/>
      <c r="AJ53" s="1"/>
      <c r="AK53" s="1"/>
      <c r="AL53" s="1"/>
      <c r="AM53" s="1"/>
      <c r="AN53" s="212"/>
      <c r="AO53" s="1"/>
      <c r="AP53" s="1"/>
      <c r="AQ53" s="1"/>
      <c r="AR53" s="1"/>
      <c r="AS53" s="1"/>
      <c r="AT53" s="1"/>
      <c r="AU53" s="1"/>
      <c r="AV53" s="1"/>
      <c r="AW53" s="1"/>
      <c r="AX53" s="1"/>
      <c r="AY53" s="1"/>
      <c r="AZ53" s="1"/>
    </row>
    <row r="54" spans="1:52" s="12" customFormat="1" ht="14.4" customHeight="1" thickBot="1" x14ac:dyDescent="0.35">
      <c r="A54" s="1"/>
      <c r="B54" s="1"/>
      <c r="C54" s="1"/>
      <c r="D54" s="1"/>
      <c r="E54" s="1"/>
      <c r="F54" s="1"/>
      <c r="G54" s="1"/>
      <c r="H54" s="1"/>
      <c r="I54" s="1"/>
      <c r="J54" s="223"/>
      <c r="K54" s="223"/>
      <c r="L54" s="223"/>
      <c r="M54" s="223"/>
      <c r="N54" s="223"/>
      <c r="O54" s="223"/>
      <c r="P54" s="223"/>
      <c r="Q54" s="223"/>
      <c r="R54" s="223"/>
      <c r="S54" s="1"/>
      <c r="T54" s="1"/>
      <c r="U54" s="1"/>
      <c r="V54" s="1"/>
      <c r="W54" s="1"/>
      <c r="X54" s="1"/>
      <c r="Y54" s="1"/>
      <c r="Z54" s="1"/>
      <c r="AA54" s="232" t="b">
        <v>1</v>
      </c>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s="12" customFormat="1" ht="14.4" customHeight="1" thickBot="1" x14ac:dyDescent="0.35">
      <c r="A55" s="1"/>
      <c r="B55" s="42" t="s">
        <v>226</v>
      </c>
      <c r="C55" s="1"/>
      <c r="D55" s="1"/>
      <c r="E55" s="1"/>
      <c r="F55" s="1"/>
      <c r="G55" s="1"/>
      <c r="H55" s="1"/>
      <c r="I55" s="1"/>
      <c r="J55" s="76"/>
      <c r="K55" s="379" t="s">
        <v>188</v>
      </c>
      <c r="L55" s="379"/>
      <c r="M55" s="315"/>
      <c r="N55" s="38"/>
      <c r="O55" s="708" t="s">
        <v>214</v>
      </c>
      <c r="P55" s="708"/>
      <c r="Q55" s="708"/>
      <c r="R55" s="708"/>
      <c r="S55" s="708"/>
      <c r="T55" s="22"/>
      <c r="U55" s="22"/>
      <c r="V55" s="22"/>
      <c r="W55" s="22"/>
      <c r="X55" s="22"/>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12" customFormat="1" ht="14.4" customHeight="1" thickBot="1" x14ac:dyDescent="0.35">
      <c r="A56" s="1"/>
      <c r="B56" s="1"/>
      <c r="C56" s="1"/>
      <c r="D56" s="1"/>
      <c r="E56" s="1"/>
      <c r="F56" s="1"/>
      <c r="G56" s="1"/>
      <c r="H56" s="1"/>
      <c r="I56" s="1"/>
      <c r="J56" s="1"/>
      <c r="K56" s="781" t="s">
        <v>137</v>
      </c>
      <c r="L56" s="782"/>
      <c r="M56" s="38"/>
      <c r="N56" s="38"/>
      <c r="O56" s="1324" t="s">
        <v>182</v>
      </c>
      <c r="P56" s="1325"/>
      <c r="Q56" s="1312" t="s">
        <v>183</v>
      </c>
      <c r="R56" s="1313"/>
      <c r="S56" s="1312" t="s">
        <v>184</v>
      </c>
      <c r="T56" s="1313"/>
      <c r="U56" s="1323" t="s">
        <v>185</v>
      </c>
      <c r="V56" s="1313"/>
      <c r="W56" s="1312" t="s">
        <v>186</v>
      </c>
      <c r="X56" s="1313"/>
      <c r="Y56" s="1"/>
      <c r="Z56" s="1"/>
      <c r="AA56" s="1"/>
      <c r="AB56" s="1"/>
      <c r="AC56" s="1"/>
      <c r="AD56" s="1"/>
      <c r="AE56" s="1"/>
      <c r="AF56" s="1"/>
      <c r="AG56" s="1"/>
      <c r="AH56" s="1"/>
      <c r="AI56" s="233" t="s">
        <v>39</v>
      </c>
      <c r="AJ56" s="233"/>
      <c r="AK56" s="234" t="s">
        <v>32</v>
      </c>
      <c r="AL56" s="234"/>
      <c r="AM56" s="235" t="s">
        <v>6</v>
      </c>
      <c r="AN56" s="235"/>
      <c r="AO56" s="236" t="s">
        <v>49</v>
      </c>
      <c r="AP56" s="236"/>
      <c r="AQ56" s="237" t="s">
        <v>36</v>
      </c>
      <c r="AR56" s="237"/>
      <c r="AS56" s="238" t="s">
        <v>5</v>
      </c>
      <c r="AT56" s="239"/>
      <c r="AU56" s="1"/>
      <c r="AV56" s="1"/>
      <c r="AW56" s="1"/>
      <c r="AX56" s="1"/>
      <c r="AY56" s="1"/>
      <c r="AZ56" s="1"/>
    </row>
    <row r="57" spans="1:52" s="12" customFormat="1" ht="14.4" customHeight="1" x14ac:dyDescent="0.3">
      <c r="A57" s="1282" t="s">
        <v>240</v>
      </c>
      <c r="B57" s="1283"/>
      <c r="C57" s="1"/>
      <c r="D57" s="1"/>
      <c r="E57" s="1"/>
      <c r="F57" s="1"/>
      <c r="G57" s="981"/>
      <c r="H57" s="981"/>
      <c r="I57" s="981"/>
      <c r="J57" s="982" t="s">
        <v>262</v>
      </c>
      <c r="K57" s="980">
        <f>K93</f>
        <v>17.626696709755347</v>
      </c>
      <c r="L57" s="983" t="s">
        <v>114</v>
      </c>
      <c r="M57" s="38"/>
      <c r="N57" s="39"/>
      <c r="O57" s="1191">
        <f>O93</f>
        <v>19.542220799008909</v>
      </c>
      <c r="P57" s="1192" t="s">
        <v>114</v>
      </c>
      <c r="Q57" s="1191">
        <f>Q93</f>
        <v>19.852295525098143</v>
      </c>
      <c r="R57" s="1193" t="s">
        <v>114</v>
      </c>
      <c r="S57" s="1191">
        <f>S93</f>
        <v>19.904368862386168</v>
      </c>
      <c r="T57" s="1194" t="s">
        <v>114</v>
      </c>
      <c r="U57" s="1191">
        <f>U93</f>
        <v>20.072672359455897</v>
      </c>
      <c r="V57" s="1195" t="s">
        <v>114</v>
      </c>
      <c r="W57" s="1191">
        <f>W93</f>
        <v>20.891848034764102</v>
      </c>
      <c r="X57" s="1196" t="s">
        <v>114</v>
      </c>
      <c r="Y57" s="22"/>
      <c r="Z57" s="1"/>
      <c r="AA57" s="1"/>
      <c r="AB57" s="1"/>
      <c r="AC57" s="1"/>
      <c r="AD57" s="1"/>
      <c r="AE57" s="1"/>
      <c r="AF57" s="1"/>
      <c r="AG57" s="1"/>
      <c r="AH57" s="1"/>
      <c r="AI57" s="233" t="s">
        <v>0</v>
      </c>
      <c r="AJ57" s="233"/>
      <c r="AK57" s="240" t="s">
        <v>3</v>
      </c>
      <c r="AL57" s="240">
        <v>5</v>
      </c>
      <c r="AM57" s="235" t="s">
        <v>4</v>
      </c>
      <c r="AN57" s="235"/>
      <c r="AO57" s="236"/>
      <c r="AP57" s="236"/>
      <c r="AQ57" s="237"/>
      <c r="AR57" s="237"/>
      <c r="AS57" s="238"/>
      <c r="AT57" s="239"/>
      <c r="AU57" s="1"/>
      <c r="AV57" s="1"/>
      <c r="AW57" s="1"/>
      <c r="AX57" s="1"/>
      <c r="AY57" s="1"/>
      <c r="AZ57" s="1"/>
    </row>
    <row r="58" spans="1:52" s="12" customFormat="1" ht="14.4" customHeight="1" x14ac:dyDescent="0.3">
      <c r="A58" s="1284" t="s">
        <v>250</v>
      </c>
      <c r="B58" s="1285"/>
      <c r="C58" s="1285"/>
      <c r="D58" s="1286"/>
      <c r="E58" s="241"/>
      <c r="F58" s="46"/>
      <c r="G58" s="46"/>
      <c r="H58" s="46"/>
      <c r="I58" s="48"/>
      <c r="J58" s="48" t="s">
        <v>127</v>
      </c>
      <c r="K58" s="784">
        <f>I21</f>
        <v>1200</v>
      </c>
      <c r="L58" s="983" t="s">
        <v>114</v>
      </c>
      <c r="M58" s="48"/>
      <c r="N58" s="48"/>
      <c r="O58" s="684">
        <f>O61/O62</f>
        <v>1200</v>
      </c>
      <c r="P58" s="974" t="s">
        <v>114</v>
      </c>
      <c r="Q58" s="685">
        <f>Q61/Q62</f>
        <v>1200</v>
      </c>
      <c r="R58" s="975" t="s">
        <v>114</v>
      </c>
      <c r="S58" s="686">
        <f>S61/S62</f>
        <v>1200</v>
      </c>
      <c r="T58" s="976" t="s">
        <v>114</v>
      </c>
      <c r="U58" s="687">
        <f>U61/U62</f>
        <v>1200</v>
      </c>
      <c r="V58" s="977" t="s">
        <v>114</v>
      </c>
      <c r="W58" s="688">
        <f>W61/W62</f>
        <v>1200</v>
      </c>
      <c r="X58" s="978" t="s">
        <v>114</v>
      </c>
      <c r="Y58" s="1"/>
      <c r="Z58" s="1"/>
      <c r="AA58" s="1"/>
      <c r="AB58" s="1"/>
      <c r="AC58" s="1"/>
      <c r="AD58" s="1"/>
      <c r="AE58" s="1"/>
      <c r="AF58" s="1"/>
      <c r="AG58" s="1"/>
      <c r="AH58" s="1"/>
      <c r="AI58" s="6"/>
      <c r="AJ58" s="6"/>
      <c r="AK58" s="16"/>
      <c r="AL58" s="16"/>
      <c r="AM58" s="17"/>
      <c r="AN58" s="17"/>
      <c r="AO58" s="18"/>
      <c r="AP58" s="18"/>
      <c r="AQ58" s="19"/>
      <c r="AR58" s="19"/>
      <c r="AS58" s="11"/>
      <c r="AT58" s="11"/>
      <c r="AU58" s="1"/>
      <c r="AV58" s="1"/>
      <c r="AW58" s="1"/>
      <c r="AX58" s="1"/>
      <c r="AY58" s="1"/>
      <c r="AZ58" s="1"/>
    </row>
    <row r="59" spans="1:52" s="12" customFormat="1" ht="14.4" customHeight="1" x14ac:dyDescent="0.3">
      <c r="A59" s="1"/>
      <c r="B59" s="1"/>
      <c r="C59" s="1"/>
      <c r="D59" s="1"/>
      <c r="E59" s="242"/>
      <c r="F59" s="22"/>
      <c r="G59" s="22"/>
      <c r="H59" s="22"/>
      <c r="I59" s="39"/>
      <c r="J59" s="39" t="s">
        <v>73</v>
      </c>
      <c r="K59" s="785">
        <f>I31</f>
        <v>39</v>
      </c>
      <c r="L59" s="983" t="s">
        <v>213</v>
      </c>
      <c r="M59" s="39"/>
      <c r="N59" s="39"/>
      <c r="O59" s="753">
        <f>K59</f>
        <v>39</v>
      </c>
      <c r="P59" s="974" t="s">
        <v>213</v>
      </c>
      <c r="Q59" s="753">
        <f>O59</f>
        <v>39</v>
      </c>
      <c r="R59" s="975" t="s">
        <v>213</v>
      </c>
      <c r="S59" s="753">
        <f>Q59</f>
        <v>39</v>
      </c>
      <c r="T59" s="976" t="s">
        <v>213</v>
      </c>
      <c r="U59" s="753">
        <f>O59</f>
        <v>39</v>
      </c>
      <c r="V59" s="977" t="s">
        <v>213</v>
      </c>
      <c r="W59" s="753">
        <f>U59</f>
        <v>39</v>
      </c>
      <c r="X59" s="978" t="s">
        <v>213</v>
      </c>
      <c r="Y59" s="1"/>
      <c r="Z59" s="1"/>
      <c r="AA59" s="1"/>
      <c r="AB59" s="1"/>
      <c r="AC59" s="1"/>
      <c r="AD59" s="1"/>
      <c r="AE59" s="1"/>
      <c r="AF59" s="1"/>
      <c r="AG59" s="1"/>
      <c r="AH59" s="1"/>
      <c r="AI59" s="6"/>
      <c r="AJ59" s="6"/>
      <c r="AK59" s="16"/>
      <c r="AL59" s="16"/>
      <c r="AM59" s="17"/>
      <c r="AN59" s="17"/>
      <c r="AO59" s="18"/>
      <c r="AP59" s="18"/>
      <c r="AQ59" s="19"/>
      <c r="AR59" s="19"/>
      <c r="AS59" s="11"/>
      <c r="AT59" s="11"/>
      <c r="AU59" s="1"/>
      <c r="AV59" s="1"/>
      <c r="AW59" s="1"/>
      <c r="AX59" s="1"/>
      <c r="AY59" s="1"/>
      <c r="AZ59" s="1"/>
    </row>
    <row r="60" spans="1:52" s="12" customFormat="1" ht="14.4" customHeight="1" x14ac:dyDescent="0.3">
      <c r="A60" s="1"/>
      <c r="B60" s="1"/>
      <c r="C60" s="1"/>
      <c r="D60" s="1"/>
      <c r="E60" s="243"/>
      <c r="F60" s="72"/>
      <c r="G60" s="72"/>
      <c r="H60" s="72"/>
      <c r="I60" s="74"/>
      <c r="J60" s="74" t="s">
        <v>68</v>
      </c>
      <c r="K60" s="786">
        <f>I36</f>
        <v>727.37504627915564</v>
      </c>
      <c r="L60" s="983" t="s">
        <v>114</v>
      </c>
      <c r="M60" s="74"/>
      <c r="N60" s="74"/>
      <c r="O60" s="693">
        <f>AI36</f>
        <v>727.37504627915564</v>
      </c>
      <c r="P60" s="974" t="s">
        <v>114</v>
      </c>
      <c r="Q60" s="695">
        <f>AK36</f>
        <v>727.37504627915564</v>
      </c>
      <c r="R60" s="975" t="s">
        <v>114</v>
      </c>
      <c r="S60" s="698">
        <f>AM36</f>
        <v>727.37504627915564</v>
      </c>
      <c r="T60" s="976" t="s">
        <v>114</v>
      </c>
      <c r="U60" s="701">
        <f>AO36</f>
        <v>727.37504627915564</v>
      </c>
      <c r="V60" s="977" t="s">
        <v>114</v>
      </c>
      <c r="W60" s="704">
        <f>AQ36</f>
        <v>727.37504627915564</v>
      </c>
      <c r="X60" s="978" t="s">
        <v>114</v>
      </c>
      <c r="Y60" s="1"/>
      <c r="Z60" s="1"/>
      <c r="AA60" s="1"/>
      <c r="AB60" s="1"/>
      <c r="AC60" s="1"/>
      <c r="AD60" s="1"/>
      <c r="AE60" s="1"/>
      <c r="AF60" s="1"/>
      <c r="AG60" s="1"/>
      <c r="AH60" s="1"/>
      <c r="AI60" s="6"/>
      <c r="AJ60" s="6"/>
      <c r="AK60" s="16"/>
      <c r="AL60" s="16"/>
      <c r="AM60" s="17"/>
      <c r="AN60" s="17"/>
      <c r="AO60" s="18"/>
      <c r="AP60" s="18"/>
      <c r="AQ60" s="19"/>
      <c r="AR60" s="19"/>
      <c r="AS60" s="11"/>
      <c r="AT60" s="11"/>
      <c r="AU60" s="1"/>
      <c r="AV60" s="1"/>
      <c r="AW60" s="1"/>
      <c r="AX60" s="1"/>
      <c r="AY60" s="1"/>
      <c r="AZ60" s="1"/>
    </row>
    <row r="61" spans="1:52" s="12" customFormat="1" ht="14.4" customHeight="1" x14ac:dyDescent="0.3">
      <c r="A61" s="1"/>
      <c r="B61" s="1"/>
      <c r="C61" s="1"/>
      <c r="D61" s="1"/>
      <c r="E61" s="215"/>
      <c r="F61" s="46"/>
      <c r="G61" s="46"/>
      <c r="H61" s="46"/>
      <c r="I61" s="48"/>
      <c r="J61" s="48" t="s">
        <v>30</v>
      </c>
      <c r="K61" s="784">
        <f>I22</f>
        <v>28800</v>
      </c>
      <c r="L61" s="983" t="s">
        <v>114</v>
      </c>
      <c r="M61" s="48"/>
      <c r="N61" s="48"/>
      <c r="O61" s="684">
        <f>K61</f>
        <v>28800</v>
      </c>
      <c r="P61" s="974" t="s">
        <v>114</v>
      </c>
      <c r="Q61" s="685">
        <f>K61</f>
        <v>28800</v>
      </c>
      <c r="R61" s="975" t="s">
        <v>114</v>
      </c>
      <c r="S61" s="686">
        <f>K61</f>
        <v>28800</v>
      </c>
      <c r="T61" s="976" t="s">
        <v>114</v>
      </c>
      <c r="U61" s="687">
        <f>K61</f>
        <v>28800</v>
      </c>
      <c r="V61" s="977" t="s">
        <v>114</v>
      </c>
      <c r="W61" s="688">
        <f>K61</f>
        <v>28800</v>
      </c>
      <c r="X61" s="978" t="s">
        <v>114</v>
      </c>
      <c r="Y61" s="1"/>
      <c r="Z61" s="1"/>
      <c r="AA61" s="1" t="s">
        <v>150</v>
      </c>
      <c r="AB61" s="1" t="s">
        <v>151</v>
      </c>
      <c r="AC61" s="1"/>
      <c r="AD61" s="1"/>
      <c r="AE61" s="1"/>
      <c r="AF61" s="1"/>
      <c r="AG61" s="1"/>
      <c r="AH61" s="1"/>
      <c r="AI61" s="6"/>
      <c r="AJ61" s="6"/>
      <c r="AK61" s="16"/>
      <c r="AL61" s="16"/>
      <c r="AM61" s="17"/>
      <c r="AN61" s="17"/>
      <c r="AO61" s="18"/>
      <c r="AP61" s="18"/>
      <c r="AQ61" s="19"/>
      <c r="AR61" s="19"/>
      <c r="AS61" s="11"/>
      <c r="AT61" s="11"/>
      <c r="AU61" s="1"/>
      <c r="AV61" s="1"/>
      <c r="AW61" s="1"/>
      <c r="AX61" s="1"/>
      <c r="AY61" s="1"/>
      <c r="AZ61" s="1"/>
    </row>
    <row r="62" spans="1:52" s="12" customFormat="1" ht="14.4" customHeight="1" x14ac:dyDescent="0.3">
      <c r="A62" s="1"/>
      <c r="B62" s="1"/>
      <c r="C62" s="1"/>
      <c r="D62" s="1"/>
      <c r="E62" s="218"/>
      <c r="F62" s="22"/>
      <c r="G62" s="22"/>
      <c r="H62" s="22"/>
      <c r="I62" s="39"/>
      <c r="J62" s="39" t="s">
        <v>147</v>
      </c>
      <c r="K62" s="787">
        <f>K61/K58</f>
        <v>24</v>
      </c>
      <c r="L62" s="983" t="s">
        <v>114</v>
      </c>
      <c r="M62" s="39"/>
      <c r="N62" s="39"/>
      <c r="O62" s="705">
        <v>24</v>
      </c>
      <c r="P62" s="974" t="s">
        <v>114</v>
      </c>
      <c r="Q62" s="705">
        <f>O62</f>
        <v>24</v>
      </c>
      <c r="R62" s="992" t="s">
        <v>114</v>
      </c>
      <c r="S62" s="705">
        <f>Q62</f>
        <v>24</v>
      </c>
      <c r="T62" s="989" t="s">
        <v>114</v>
      </c>
      <c r="U62" s="705">
        <f>S62</f>
        <v>24</v>
      </c>
      <c r="V62" s="1158" t="s">
        <v>114</v>
      </c>
      <c r="W62" s="705">
        <f>U62</f>
        <v>24</v>
      </c>
      <c r="X62" s="978" t="s">
        <v>114</v>
      </c>
      <c r="Y62" s="1"/>
      <c r="Z62" s="1"/>
      <c r="AA62" s="1" t="b">
        <v>1</v>
      </c>
      <c r="AB62" s="1" t="b">
        <v>0</v>
      </c>
      <c r="AC62" s="1"/>
      <c r="AD62" s="1"/>
      <c r="AE62" s="1"/>
      <c r="AF62" s="1"/>
      <c r="AG62" s="1"/>
      <c r="AH62" s="1"/>
      <c r="AI62" s="6"/>
      <c r="AJ62" s="6"/>
      <c r="AK62" s="16"/>
      <c r="AL62" s="16"/>
      <c r="AM62" s="17"/>
      <c r="AN62" s="17"/>
      <c r="AO62" s="18"/>
      <c r="AP62" s="18"/>
      <c r="AQ62" s="19"/>
      <c r="AR62" s="19"/>
      <c r="AS62" s="11"/>
      <c r="AT62" s="11"/>
      <c r="AU62" s="1"/>
      <c r="AV62" s="1"/>
      <c r="AW62" s="1"/>
      <c r="AX62" s="1"/>
      <c r="AY62" s="1"/>
      <c r="AZ62" s="1"/>
    </row>
    <row r="63" spans="1:52" s="12" customFormat="1" ht="14.4" customHeight="1" x14ac:dyDescent="0.3">
      <c r="A63" s="1"/>
      <c r="B63" s="1"/>
      <c r="C63" s="1"/>
      <c r="D63" s="151"/>
      <c r="E63" s="244"/>
      <c r="F63" s="72"/>
      <c r="G63" s="72"/>
      <c r="H63" s="72"/>
      <c r="I63" s="74"/>
      <c r="J63" s="74" t="s">
        <v>51</v>
      </c>
      <c r="K63" s="787">
        <f>K62/$I27</f>
        <v>11.84</v>
      </c>
      <c r="L63" s="983" t="s">
        <v>114</v>
      </c>
      <c r="M63" s="39"/>
      <c r="N63" s="39"/>
      <c r="O63" s="694">
        <f>O62/$I27</f>
        <v>11.84</v>
      </c>
      <c r="P63" s="974" t="s">
        <v>114</v>
      </c>
      <c r="Q63" s="696">
        <f>Q62/$I27</f>
        <v>11.84</v>
      </c>
      <c r="R63" s="992" t="s">
        <v>114</v>
      </c>
      <c r="S63" s="699">
        <f>S62/$I27</f>
        <v>11.84</v>
      </c>
      <c r="T63" s="989" t="s">
        <v>114</v>
      </c>
      <c r="U63" s="702">
        <f>U62/$I27</f>
        <v>11.84</v>
      </c>
      <c r="V63" s="1158" t="s">
        <v>114</v>
      </c>
      <c r="W63" s="706">
        <f>W62/$I27</f>
        <v>11.84</v>
      </c>
      <c r="X63" s="985" t="s">
        <v>114</v>
      </c>
      <c r="Y63" s="1"/>
      <c r="Z63" s="1"/>
      <c r="AA63" s="212" t="s">
        <v>148</v>
      </c>
      <c r="AB63" s="212" t="s">
        <v>149</v>
      </c>
      <c r="AC63" s="1"/>
      <c r="AD63" s="1"/>
      <c r="AE63" s="1"/>
      <c r="AF63" s="1"/>
      <c r="AG63" s="1"/>
      <c r="AH63" s="1"/>
      <c r="AI63" s="6"/>
      <c r="AJ63" s="6"/>
      <c r="AK63" s="16"/>
      <c r="AL63" s="16"/>
      <c r="AM63" s="17"/>
      <c r="AN63" s="17"/>
      <c r="AO63" s="18"/>
      <c r="AP63" s="18"/>
      <c r="AQ63" s="19"/>
      <c r="AR63" s="19"/>
      <c r="AS63" s="11"/>
      <c r="AT63" s="11"/>
      <c r="AU63" s="1"/>
      <c r="AV63" s="1"/>
      <c r="AW63" s="1"/>
      <c r="AX63" s="1"/>
      <c r="AY63" s="1"/>
      <c r="AZ63" s="1"/>
    </row>
    <row r="64" spans="1:52" s="12" customFormat="1" ht="14.4" customHeight="1" x14ac:dyDescent="0.3">
      <c r="A64" s="1"/>
      <c r="B64" s="1"/>
      <c r="C64" s="215"/>
      <c r="D64" s="46"/>
      <c r="E64" s="46"/>
      <c r="F64" s="46"/>
      <c r="G64" s="46"/>
      <c r="H64" s="46"/>
      <c r="I64" s="46"/>
      <c r="J64" s="48" t="s">
        <v>106</v>
      </c>
      <c r="K64" s="754">
        <v>21.2</v>
      </c>
      <c r="L64" s="983" t="s">
        <v>34</v>
      </c>
      <c r="M64" s="780" t="str">
        <f>IF(AA64&lt;14,"CAUTION!","OK")</f>
        <v>OK</v>
      </c>
      <c r="N64" s="48"/>
      <c r="O64" s="754">
        <v>22.8</v>
      </c>
      <c r="P64" s="974" t="s">
        <v>114</v>
      </c>
      <c r="Q64" s="754">
        <f>O64</f>
        <v>22.8</v>
      </c>
      <c r="R64" s="993" t="s">
        <v>114</v>
      </c>
      <c r="S64" s="754">
        <f>Q64</f>
        <v>22.8</v>
      </c>
      <c r="T64" s="801" t="s">
        <v>114</v>
      </c>
      <c r="U64" s="754">
        <f>S64</f>
        <v>22.8</v>
      </c>
      <c r="V64" s="1078" t="s">
        <v>114</v>
      </c>
      <c r="W64" s="754">
        <v>30</v>
      </c>
      <c r="X64" s="986" t="s">
        <v>114</v>
      </c>
      <c r="Y64" s="1"/>
      <c r="Z64" s="1"/>
      <c r="AA64" s="245">
        <f>MIN(K64,O64,Q64,S64,U64,W64)</f>
        <v>21.2</v>
      </c>
      <c r="AB64" s="245">
        <f>MAX(K64,O64,Q64,S64,U64,W64,)</f>
        <v>30</v>
      </c>
      <c r="AC64" s="1"/>
      <c r="AD64" s="1"/>
      <c r="AE64" s="1"/>
      <c r="AF64" s="1"/>
      <c r="AG64" s="1"/>
      <c r="AH64" s="1"/>
      <c r="AI64" s="6"/>
      <c r="AJ64" s="6"/>
      <c r="AK64" s="16"/>
      <c r="AL64" s="16"/>
      <c r="AM64" s="17"/>
      <c r="AN64" s="17"/>
      <c r="AO64" s="18"/>
      <c r="AP64" s="18"/>
      <c r="AQ64" s="19"/>
      <c r="AR64" s="19"/>
      <c r="AS64" s="11"/>
      <c r="AT64" s="11"/>
      <c r="AU64" s="1"/>
      <c r="AV64" s="1"/>
      <c r="AW64" s="1"/>
      <c r="AX64" s="1"/>
      <c r="AY64" s="1"/>
      <c r="AZ64" s="1"/>
    </row>
    <row r="65" spans="1:52" s="12" customFormat="1" ht="14.4" customHeight="1" x14ac:dyDescent="0.3">
      <c r="A65" s="40"/>
      <c r="B65" s="40"/>
      <c r="C65" s="242"/>
      <c r="D65" s="246"/>
      <c r="E65" s="246"/>
      <c r="F65" s="246"/>
      <c r="G65" s="246"/>
      <c r="H65" s="246"/>
      <c r="I65" s="246"/>
      <c r="J65" s="39" t="s">
        <v>110</v>
      </c>
      <c r="K65" s="754">
        <v>21.2</v>
      </c>
      <c r="L65" s="983" t="s">
        <v>34</v>
      </c>
      <c r="M65" s="780" t="str">
        <f>IF(AA65&lt;14,"CAUTION!","OK")</f>
        <v>OK</v>
      </c>
      <c r="N65" s="39"/>
      <c r="O65" s="754">
        <f>K65</f>
        <v>21.2</v>
      </c>
      <c r="P65" s="974" t="s">
        <v>114</v>
      </c>
      <c r="Q65" s="754">
        <f>O65</f>
        <v>21.2</v>
      </c>
      <c r="R65" s="993" t="s">
        <v>114</v>
      </c>
      <c r="S65" s="754">
        <f>Q65</f>
        <v>21.2</v>
      </c>
      <c r="T65" s="801" t="s">
        <v>114</v>
      </c>
      <c r="U65" s="754">
        <f>S65</f>
        <v>21.2</v>
      </c>
      <c r="V65" s="1078" t="s">
        <v>114</v>
      </c>
      <c r="W65" s="754">
        <f>U65</f>
        <v>21.2</v>
      </c>
      <c r="X65" s="986" t="s">
        <v>114</v>
      </c>
      <c r="Y65" s="1"/>
      <c r="Z65" s="1"/>
      <c r="AA65" s="245">
        <f>MIN(K65,O65,Q65,S65,U65,W65)</f>
        <v>21.2</v>
      </c>
      <c r="AB65" s="245">
        <f>MAX(K65,O65,Q65,S65,U65,W65,)</f>
        <v>21.2</v>
      </c>
      <c r="AC65" s="1"/>
      <c r="AD65" s="1"/>
      <c r="AE65" s="1"/>
      <c r="AF65" s="1"/>
      <c r="AG65" s="1"/>
      <c r="AH65" s="1"/>
      <c r="AI65" s="6"/>
      <c r="AJ65" s="6"/>
      <c r="AK65" s="16"/>
      <c r="AL65" s="16"/>
      <c r="AM65" s="17"/>
      <c r="AN65" s="17"/>
      <c r="AO65" s="18"/>
      <c r="AP65" s="18"/>
      <c r="AQ65" s="19"/>
      <c r="AR65" s="19"/>
      <c r="AS65" s="11"/>
      <c r="AT65" s="11"/>
      <c r="AU65" s="1"/>
      <c r="AV65" s="1"/>
      <c r="AW65" s="1"/>
      <c r="AX65" s="1"/>
      <c r="AY65" s="1"/>
      <c r="AZ65" s="1"/>
    </row>
    <row r="66" spans="1:52" s="12" customFormat="1" ht="14.4" customHeight="1" x14ac:dyDescent="0.3">
      <c r="A66" s="1"/>
      <c r="B66" s="1"/>
      <c r="C66" s="219"/>
      <c r="D66" s="72"/>
      <c r="E66" s="72"/>
      <c r="F66" s="72"/>
      <c r="G66" s="72"/>
      <c r="H66" s="72"/>
      <c r="I66" s="72"/>
      <c r="J66" s="74" t="s">
        <v>99</v>
      </c>
      <c r="K66" s="754">
        <v>21.2</v>
      </c>
      <c r="L66" s="983" t="s">
        <v>34</v>
      </c>
      <c r="M66" s="780" t="str">
        <f>IF(AA66&lt;14,"CAUTION!","OK")</f>
        <v>OK</v>
      </c>
      <c r="N66" s="74"/>
      <c r="O66" s="754">
        <f>K66</f>
        <v>21.2</v>
      </c>
      <c r="P66" s="974" t="s">
        <v>114</v>
      </c>
      <c r="Q66" s="754">
        <f>O66</f>
        <v>21.2</v>
      </c>
      <c r="R66" s="993" t="s">
        <v>114</v>
      </c>
      <c r="S66" s="754">
        <f>Q66</f>
        <v>21.2</v>
      </c>
      <c r="T66" s="801" t="s">
        <v>114</v>
      </c>
      <c r="U66" s="754">
        <f>S66</f>
        <v>21.2</v>
      </c>
      <c r="V66" s="1078" t="s">
        <v>114</v>
      </c>
      <c r="W66" s="754">
        <f>U66</f>
        <v>21.2</v>
      </c>
      <c r="X66" s="986" t="s">
        <v>114</v>
      </c>
      <c r="Y66" s="1"/>
      <c r="Z66" s="1"/>
      <c r="AA66" s="245">
        <f>MIN(K66,O66,Q66,S66,U66,W66)</f>
        <v>21.2</v>
      </c>
      <c r="AB66" s="245">
        <f>MAX(K66,O66,Q66,S66,U66,W66,)</f>
        <v>21.2</v>
      </c>
      <c r="AC66" s="1"/>
      <c r="AD66" s="1"/>
      <c r="AE66" s="1"/>
      <c r="AF66" s="1"/>
      <c r="AG66" s="1"/>
      <c r="AH66" s="1"/>
      <c r="AI66" s="6"/>
      <c r="AJ66" s="6"/>
      <c r="AK66" s="16"/>
      <c r="AL66" s="16"/>
      <c r="AM66" s="17"/>
      <c r="AN66" s="17"/>
      <c r="AO66" s="18"/>
      <c r="AP66" s="18"/>
      <c r="AQ66" s="19"/>
      <c r="AR66" s="19"/>
      <c r="AS66" s="11"/>
      <c r="AT66" s="11"/>
      <c r="AU66" s="1"/>
      <c r="AV66" s="1"/>
      <c r="AW66" s="1"/>
      <c r="AX66" s="1"/>
      <c r="AY66" s="1"/>
      <c r="AZ66" s="1"/>
    </row>
    <row r="67" spans="1:52" s="12" customFormat="1" ht="14.4" customHeight="1" x14ac:dyDescent="0.3">
      <c r="A67" s="1"/>
      <c r="B67" s="1"/>
      <c r="C67" s="1"/>
      <c r="D67" s="1"/>
      <c r="E67" s="215"/>
      <c r="F67" s="46"/>
      <c r="G67" s="46"/>
      <c r="H67" s="46"/>
      <c r="I67" s="46"/>
      <c r="J67" s="48" t="s">
        <v>108</v>
      </c>
      <c r="K67" s="247">
        <f>I36*K64</f>
        <v>15420.350981118099</v>
      </c>
      <c r="L67" s="551" t="s">
        <v>34</v>
      </c>
      <c r="M67" s="46"/>
      <c r="N67" s="48"/>
      <c r="O67" s="777">
        <f>O64*AI36</f>
        <v>16584.151055164748</v>
      </c>
      <c r="P67" s="974" t="s">
        <v>34</v>
      </c>
      <c r="Q67" s="685">
        <f>Q64*AK36</f>
        <v>16584.151055164748</v>
      </c>
      <c r="R67" s="410" t="s">
        <v>34</v>
      </c>
      <c r="S67" s="686">
        <f>S64*AM36</f>
        <v>16584.151055164748</v>
      </c>
      <c r="T67" s="423" t="s">
        <v>34</v>
      </c>
      <c r="U67" s="687">
        <f>U64*AO36</f>
        <v>16584.151055164748</v>
      </c>
      <c r="V67" s="434" t="s">
        <v>34</v>
      </c>
      <c r="W67" s="688">
        <f>W64*AQ36</f>
        <v>21821.251388374669</v>
      </c>
      <c r="X67" s="986" t="s">
        <v>34</v>
      </c>
      <c r="Y67" s="1"/>
      <c r="Z67" s="1"/>
      <c r="AA67" s="1"/>
      <c r="AB67" s="1"/>
      <c r="AC67" s="1"/>
      <c r="AD67" s="1"/>
      <c r="AE67" s="1"/>
      <c r="AF67" s="1"/>
      <c r="AG67" s="1"/>
      <c r="AH67" s="1"/>
      <c r="AI67" s="6"/>
      <c r="AJ67" s="6"/>
      <c r="AK67" s="16"/>
      <c r="AL67" s="16"/>
      <c r="AM67" s="17"/>
      <c r="AN67" s="17"/>
      <c r="AO67" s="18"/>
      <c r="AP67" s="18"/>
      <c r="AQ67" s="19"/>
      <c r="AR67" s="19"/>
      <c r="AS67" s="11"/>
      <c r="AT67" s="11"/>
      <c r="AU67" s="1"/>
      <c r="AV67" s="1"/>
      <c r="AW67" s="1"/>
      <c r="AX67" s="1"/>
      <c r="AY67" s="1"/>
      <c r="AZ67" s="1"/>
    </row>
    <row r="68" spans="1:52" s="12" customFormat="1" ht="14.4" customHeight="1" x14ac:dyDescent="0.3">
      <c r="A68" s="1"/>
      <c r="B68" s="1"/>
      <c r="C68" s="1"/>
      <c r="D68" s="231"/>
      <c r="E68" s="218"/>
      <c r="F68" s="22"/>
      <c r="G68" s="22"/>
      <c r="H68" s="22"/>
      <c r="I68" s="22"/>
      <c r="J68" s="39" t="s">
        <v>109</v>
      </c>
      <c r="K68" s="248">
        <f>(K65*I37)</f>
        <v>6281.3535727508333</v>
      </c>
      <c r="L68" s="551" t="s">
        <v>34</v>
      </c>
      <c r="M68" s="22"/>
      <c r="N68" s="39"/>
      <c r="O68" s="778">
        <f>O65*AI37</f>
        <v>6281.3535727508333</v>
      </c>
      <c r="P68" s="974" t="s">
        <v>34</v>
      </c>
      <c r="Q68" s="697">
        <f>Q65*AK37</f>
        <v>6281.3535727508333</v>
      </c>
      <c r="R68" s="410" t="s">
        <v>34</v>
      </c>
      <c r="S68" s="700">
        <f>S65*AM37</f>
        <v>6281.3535727508333</v>
      </c>
      <c r="T68" s="423" t="s">
        <v>34</v>
      </c>
      <c r="U68" s="703">
        <f>U65*AO37</f>
        <v>6281.3535727508333</v>
      </c>
      <c r="V68" s="434" t="s">
        <v>34</v>
      </c>
      <c r="W68" s="707">
        <f>W65*AQ37</f>
        <v>6281.3535727508333</v>
      </c>
      <c r="X68" s="986" t="s">
        <v>34</v>
      </c>
      <c r="Y68" s="1"/>
      <c r="Z68" s="1"/>
      <c r="AA68" s="1"/>
      <c r="AB68" s="1"/>
      <c r="AC68" s="1"/>
      <c r="AD68" s="1"/>
      <c r="AE68" s="1"/>
      <c r="AF68" s="1"/>
      <c r="AG68" s="1"/>
      <c r="AH68" s="1"/>
      <c r="AI68" s="6"/>
      <c r="AJ68" s="6"/>
      <c r="AK68" s="16"/>
      <c r="AL68" s="16"/>
      <c r="AM68" s="17"/>
      <c r="AN68" s="17"/>
      <c r="AO68" s="18"/>
      <c r="AP68" s="18"/>
      <c r="AQ68" s="19"/>
      <c r="AR68" s="19"/>
      <c r="AS68" s="11"/>
      <c r="AT68" s="11"/>
      <c r="AU68" s="1"/>
      <c r="AV68" s="1"/>
      <c r="AW68" s="1"/>
      <c r="AX68" s="1"/>
      <c r="AY68" s="1"/>
      <c r="AZ68" s="1"/>
    </row>
    <row r="69" spans="1:52" s="12" customFormat="1" ht="14.4" customHeight="1" thickBot="1" x14ac:dyDescent="0.35">
      <c r="A69" s="40"/>
      <c r="B69" s="40"/>
      <c r="C69" s="40"/>
      <c r="D69" s="40"/>
      <c r="E69" s="243"/>
      <c r="F69" s="220"/>
      <c r="G69" s="220"/>
      <c r="H69" s="220"/>
      <c r="I69" s="220"/>
      <c r="J69" s="74" t="s">
        <v>107</v>
      </c>
      <c r="K69" s="249">
        <f>K66*I38</f>
        <v>771.39429840799721</v>
      </c>
      <c r="L69" s="983" t="s">
        <v>34</v>
      </c>
      <c r="M69" s="72"/>
      <c r="N69" s="74"/>
      <c r="O69" s="779">
        <f>O66*AI38</f>
        <v>771.39429840799721</v>
      </c>
      <c r="P69" s="996" t="s">
        <v>34</v>
      </c>
      <c r="Q69" s="689">
        <f>Q66*AK38</f>
        <v>771.39429840799721</v>
      </c>
      <c r="R69" s="412" t="s">
        <v>34</v>
      </c>
      <c r="S69" s="690">
        <f>S66*AM38</f>
        <v>771.39429840799721</v>
      </c>
      <c r="T69" s="425" t="s">
        <v>34</v>
      </c>
      <c r="U69" s="691">
        <f>U66*AO38</f>
        <v>771.39429840799721</v>
      </c>
      <c r="V69" s="436" t="s">
        <v>34</v>
      </c>
      <c r="W69" s="692">
        <f>W66*AQ38</f>
        <v>771.39429840799721</v>
      </c>
      <c r="X69" s="987" t="s">
        <v>34</v>
      </c>
      <c r="Y69" s="1"/>
      <c r="Z69" s="1"/>
      <c r="AA69" s="1"/>
      <c r="AB69" s="1"/>
      <c r="AC69" s="1"/>
      <c r="AD69" s="1"/>
      <c r="AE69" s="1"/>
      <c r="AF69" s="1"/>
      <c r="AG69" s="1"/>
      <c r="AH69" s="1"/>
      <c r="AI69" s="6"/>
      <c r="AJ69" s="6"/>
      <c r="AK69" s="16"/>
      <c r="AL69" s="16"/>
      <c r="AM69" s="17"/>
      <c r="AN69" s="17"/>
      <c r="AO69" s="18"/>
      <c r="AP69" s="18"/>
      <c r="AQ69" s="19"/>
      <c r="AR69" s="19"/>
      <c r="AS69" s="11"/>
      <c r="AT69" s="11"/>
      <c r="AU69" s="1"/>
      <c r="AV69" s="1"/>
      <c r="AW69" s="1"/>
      <c r="AX69" s="1"/>
      <c r="AY69" s="1"/>
      <c r="AZ69" s="1"/>
    </row>
    <row r="70" spans="1:52" s="12" customFormat="1" ht="14.4" customHeight="1" thickBot="1" x14ac:dyDescent="0.35">
      <c r="A70" s="1"/>
      <c r="B70" s="1"/>
      <c r="C70" s="1"/>
      <c r="D70" s="1"/>
      <c r="E70" s="1"/>
      <c r="F70" s="40"/>
      <c r="G70" s="1"/>
      <c r="H70" s="1"/>
      <c r="I70" s="215"/>
      <c r="J70" s="48" t="s">
        <v>86</v>
      </c>
      <c r="K70" s="247">
        <f>K68+K67+K69</f>
        <v>22473.098852276933</v>
      </c>
      <c r="L70" s="983" t="s">
        <v>34</v>
      </c>
      <c r="M70" s="250"/>
      <c r="N70" s="48" t="s">
        <v>128</v>
      </c>
      <c r="O70" s="679">
        <f>O67+O68+O69</f>
        <v>23636.898926323578</v>
      </c>
      <c r="P70" s="997" t="s">
        <v>34</v>
      </c>
      <c r="Q70" s="758">
        <f>Q67+Q68+Q69</f>
        <v>23636.898926323578</v>
      </c>
      <c r="R70" s="994" t="s">
        <v>34</v>
      </c>
      <c r="S70" s="760">
        <f>S67+S68+S69</f>
        <v>23636.898926323578</v>
      </c>
      <c r="T70" s="990" t="s">
        <v>34</v>
      </c>
      <c r="U70" s="762">
        <f>U67+U68+U69</f>
        <v>23636.898926323578</v>
      </c>
      <c r="V70" s="1159" t="s">
        <v>34</v>
      </c>
      <c r="W70" s="764">
        <f>W67+W68+W69</f>
        <v>28873.999259533499</v>
      </c>
      <c r="X70" s="818" t="s">
        <v>34</v>
      </c>
      <c r="Y70" s="38"/>
      <c r="Z70" s="1"/>
      <c r="AA70" s="1"/>
      <c r="AB70" s="1"/>
      <c r="AC70" s="1"/>
      <c r="AD70" s="1"/>
      <c r="AE70" s="1"/>
      <c r="AF70" s="1"/>
      <c r="AG70" s="1"/>
      <c r="AH70" s="1"/>
      <c r="AI70" s="6"/>
      <c r="AJ70" s="6"/>
      <c r="AK70" s="16"/>
      <c r="AL70" s="16"/>
      <c r="AM70" s="17"/>
      <c r="AN70" s="17"/>
      <c r="AO70" s="18"/>
      <c r="AP70" s="18"/>
      <c r="AQ70" s="19"/>
      <c r="AR70" s="19"/>
      <c r="AS70" s="11"/>
      <c r="AT70" s="11"/>
      <c r="AU70" s="1"/>
      <c r="AV70" s="1"/>
      <c r="AW70" s="1"/>
      <c r="AX70" s="1"/>
      <c r="AY70" s="1"/>
      <c r="AZ70" s="1"/>
    </row>
    <row r="71" spans="1:52" s="12" customFormat="1" ht="14.4" customHeight="1" thickBot="1" x14ac:dyDescent="0.35">
      <c r="A71" s="1"/>
      <c r="B71" s="231"/>
      <c r="C71" s="231"/>
      <c r="D71" s="1"/>
      <c r="E71" s="1"/>
      <c r="F71" s="40"/>
      <c r="G71" s="1"/>
      <c r="H71" s="1"/>
      <c r="I71" s="251">
        <f>K70/K71</f>
        <v>280.91373565346169</v>
      </c>
      <c r="J71" s="74" t="s">
        <v>136</v>
      </c>
      <c r="K71" s="754">
        <v>80</v>
      </c>
      <c r="L71" s="998" t="s">
        <v>76</v>
      </c>
      <c r="M71" s="72"/>
      <c r="N71" s="74"/>
      <c r="O71" s="74"/>
      <c r="P71" s="1154"/>
      <c r="Q71" s="74"/>
      <c r="R71" s="74"/>
      <c r="S71" s="74"/>
      <c r="T71" s="74"/>
      <c r="U71" s="74"/>
      <c r="V71" s="74"/>
      <c r="W71" s="74"/>
      <c r="X71" s="1160"/>
      <c r="Y71" s="38"/>
      <c r="Z71" s="1"/>
      <c r="AA71" s="1"/>
      <c r="AB71" s="1"/>
      <c r="AC71" s="1"/>
      <c r="AD71" s="1"/>
      <c r="AE71" s="1"/>
      <c r="AF71" s="1"/>
      <c r="AG71" s="1"/>
      <c r="AH71" s="1"/>
      <c r="AI71" s="6"/>
      <c r="AJ71" s="6"/>
      <c r="AK71" s="16"/>
      <c r="AL71" s="16"/>
      <c r="AM71" s="17"/>
      <c r="AN71" s="17"/>
      <c r="AO71" s="18"/>
      <c r="AP71" s="18"/>
      <c r="AQ71" s="19"/>
      <c r="AR71" s="19"/>
      <c r="AS71" s="11"/>
      <c r="AT71" s="11"/>
      <c r="AU71" s="1"/>
      <c r="AV71" s="1"/>
      <c r="AW71" s="1"/>
      <c r="AX71" s="1"/>
      <c r="AY71" s="1"/>
      <c r="AZ71" s="1"/>
    </row>
    <row r="72" spans="1:52" s="12" customFormat="1" ht="14.4" customHeight="1" thickBot="1" x14ac:dyDescent="0.35">
      <c r="A72" s="1"/>
      <c r="B72" s="231"/>
      <c r="C72" s="231"/>
      <c r="D72" s="1"/>
      <c r="E72" s="1"/>
      <c r="F72" s="40"/>
      <c r="G72" s="1"/>
      <c r="H72" s="1"/>
      <c r="I72" s="1"/>
      <c r="J72" s="39"/>
      <c r="K72" s="39"/>
      <c r="L72" s="39"/>
      <c r="M72" s="22"/>
      <c r="N72" s="39"/>
      <c r="O72" s="39"/>
      <c r="P72" s="378"/>
      <c r="Q72" s="39"/>
      <c r="R72" s="39"/>
      <c r="S72" s="39"/>
      <c r="T72" s="39"/>
      <c r="U72" s="39"/>
      <c r="V72" s="39"/>
      <c r="W72" s="39"/>
      <c r="X72" s="378"/>
      <c r="Y72" s="38"/>
      <c r="Z72" s="1"/>
      <c r="AA72" s="1"/>
      <c r="AB72" s="1"/>
      <c r="AC72" s="1"/>
      <c r="AD72" s="1"/>
      <c r="AE72" s="1"/>
      <c r="AF72" s="1"/>
      <c r="AG72" s="1"/>
      <c r="AH72" s="1"/>
      <c r="AI72" s="6"/>
      <c r="AJ72" s="6"/>
      <c r="AK72" s="16"/>
      <c r="AL72" s="16"/>
      <c r="AM72" s="17"/>
      <c r="AN72" s="17"/>
      <c r="AO72" s="18"/>
      <c r="AP72" s="18"/>
      <c r="AQ72" s="19"/>
      <c r="AR72" s="19"/>
      <c r="AS72" s="11"/>
      <c r="AT72" s="11"/>
      <c r="AU72" s="1"/>
      <c r="AV72" s="1"/>
      <c r="AW72" s="1"/>
      <c r="AX72" s="1"/>
      <c r="AY72" s="1"/>
      <c r="AZ72" s="1"/>
    </row>
    <row r="73" spans="1:52" s="12" customFormat="1" ht="14.4" customHeight="1" x14ac:dyDescent="0.3">
      <c r="A73" s="1"/>
      <c r="B73" s="1"/>
      <c r="C73" s="1"/>
      <c r="D73" s="1"/>
      <c r="E73" s="1"/>
      <c r="F73" s="215"/>
      <c r="G73" s="46"/>
      <c r="H73" s="46"/>
      <c r="I73" s="46"/>
      <c r="J73" s="48" t="s">
        <v>77</v>
      </c>
      <c r="K73" s="790">
        <f>I39</f>
        <v>1199.9999999999998</v>
      </c>
      <c r="L73" s="999" t="s">
        <v>114</v>
      </c>
      <c r="M73" s="48"/>
      <c r="N73" s="48"/>
      <c r="O73" s="678">
        <f>AI39</f>
        <v>1199.9999999999998</v>
      </c>
      <c r="P73" s="1001" t="s">
        <v>114</v>
      </c>
      <c r="Q73" s="670">
        <f>AK39</f>
        <v>1199.9999999999998</v>
      </c>
      <c r="R73" s="1002" t="s">
        <v>114</v>
      </c>
      <c r="S73" s="672">
        <f>AM39</f>
        <v>1199.9999999999998</v>
      </c>
      <c r="T73" s="1003" t="s">
        <v>114</v>
      </c>
      <c r="U73" s="674">
        <f>AO39</f>
        <v>1199.9999999999998</v>
      </c>
      <c r="V73" s="1004" t="s">
        <v>114</v>
      </c>
      <c r="W73" s="676">
        <f>AQ39</f>
        <v>1199.9999999999998</v>
      </c>
      <c r="X73" s="1005" t="s">
        <v>114</v>
      </c>
      <c r="Y73" s="1"/>
      <c r="Z73" s="1"/>
      <c r="AA73" s="1"/>
      <c r="AB73" s="1"/>
      <c r="AC73" s="1"/>
      <c r="AD73" s="1"/>
      <c r="AE73" s="1"/>
      <c r="AF73" s="1"/>
      <c r="AG73" s="1"/>
      <c r="AH73" s="1"/>
      <c r="AI73" s="6"/>
      <c r="AJ73" s="6"/>
      <c r="AK73" s="16"/>
      <c r="AL73" s="16"/>
      <c r="AM73" s="17"/>
      <c r="AN73" s="17"/>
      <c r="AO73" s="18"/>
      <c r="AP73" s="18"/>
      <c r="AQ73" s="19"/>
      <c r="AR73" s="19"/>
      <c r="AS73" s="11"/>
      <c r="AT73" s="11"/>
      <c r="AU73" s="1"/>
      <c r="AV73" s="1"/>
      <c r="AW73" s="1"/>
      <c r="AX73" s="1"/>
      <c r="AY73" s="1"/>
      <c r="AZ73" s="1"/>
    </row>
    <row r="74" spans="1:52" s="12" customFormat="1" ht="14.4" customHeight="1" thickBot="1" x14ac:dyDescent="0.35">
      <c r="A74" s="1"/>
      <c r="B74" s="1"/>
      <c r="C74" s="1"/>
      <c r="D74" s="1"/>
      <c r="E74" s="1"/>
      <c r="F74" s="219"/>
      <c r="G74" s="72"/>
      <c r="H74" s="72"/>
      <c r="I74" s="72"/>
      <c r="J74" s="74" t="s">
        <v>122</v>
      </c>
      <c r="K74" s="792">
        <f>I37+I38+I36</f>
        <v>1060.0518326545721</v>
      </c>
      <c r="L74" s="1000" t="s">
        <v>114</v>
      </c>
      <c r="M74" s="74"/>
      <c r="N74" s="74"/>
      <c r="O74" s="679">
        <f>AI36+AI38+AI37</f>
        <v>1060.0518326545723</v>
      </c>
      <c r="P74" s="996" t="s">
        <v>114</v>
      </c>
      <c r="Q74" s="671">
        <f>AK36+AK38+AK37</f>
        <v>1060.0518326545723</v>
      </c>
      <c r="R74" s="412" t="s">
        <v>114</v>
      </c>
      <c r="S74" s="673">
        <f>AM36+AM38+AM37</f>
        <v>1060.0518326545723</v>
      </c>
      <c r="T74" s="425" t="s">
        <v>114</v>
      </c>
      <c r="U74" s="675">
        <f>AO36+AO38+AO37</f>
        <v>1060.0518326545723</v>
      </c>
      <c r="V74" s="436" t="s">
        <v>114</v>
      </c>
      <c r="W74" s="677">
        <f>AQ36+AQ38+AQ37</f>
        <v>1060.0518326545723</v>
      </c>
      <c r="X74" s="365" t="s">
        <v>114</v>
      </c>
      <c r="Y74" s="1"/>
      <c r="Z74" s="1"/>
      <c r="AA74" s="1"/>
      <c r="AB74" s="1"/>
      <c r="AC74" s="1"/>
      <c r="AD74" s="1"/>
      <c r="AE74" s="1"/>
      <c r="AF74" s="1"/>
      <c r="AG74" s="1"/>
      <c r="AH74" s="1"/>
      <c r="AI74" s="6"/>
      <c r="AJ74" s="6"/>
      <c r="AK74" s="16"/>
      <c r="AL74" s="16"/>
      <c r="AM74" s="17"/>
      <c r="AN74" s="17"/>
      <c r="AO74" s="18"/>
      <c r="AP74" s="18"/>
      <c r="AQ74" s="19"/>
      <c r="AR74" s="19"/>
      <c r="AS74" s="11"/>
      <c r="AT74" s="11"/>
      <c r="AU74" s="1"/>
      <c r="AV74" s="1"/>
      <c r="AW74" s="1"/>
      <c r="AX74" s="1"/>
      <c r="AY74" s="1"/>
      <c r="AZ74" s="1"/>
    </row>
    <row r="75" spans="1:52" s="12" customFormat="1" ht="14.4" customHeight="1" x14ac:dyDescent="0.3">
      <c r="A75" s="1"/>
      <c r="B75" s="1"/>
      <c r="C75" s="1"/>
      <c r="D75" s="1"/>
      <c r="E75" s="1"/>
      <c r="F75" s="22"/>
      <c r="G75" s="22"/>
      <c r="H75" s="22"/>
      <c r="I75" s="22"/>
      <c r="J75" s="39"/>
      <c r="K75" s="39"/>
      <c r="L75" s="39"/>
      <c r="M75" s="39"/>
      <c r="N75" s="39"/>
      <c r="O75" s="39"/>
      <c r="P75" s="378"/>
      <c r="Q75" s="39"/>
      <c r="R75" s="39"/>
      <c r="S75" s="39"/>
      <c r="T75" s="39"/>
      <c r="U75" s="39"/>
      <c r="V75" s="39"/>
      <c r="W75" s="39"/>
      <c r="X75" s="378"/>
      <c r="Y75" s="1"/>
      <c r="Z75" s="1"/>
      <c r="AA75" s="1"/>
      <c r="AB75" s="1"/>
      <c r="AC75" s="1"/>
      <c r="AD75" s="1"/>
      <c r="AE75" s="1"/>
      <c r="AF75" s="1"/>
      <c r="AG75" s="1"/>
      <c r="AH75" s="1"/>
      <c r="AI75" s="6"/>
      <c r="AJ75" s="6"/>
      <c r="AK75" s="16"/>
      <c r="AL75" s="16"/>
      <c r="AM75" s="17"/>
      <c r="AN75" s="17"/>
      <c r="AO75" s="18"/>
      <c r="AP75" s="18"/>
      <c r="AQ75" s="19"/>
      <c r="AR75" s="19"/>
      <c r="AS75" s="11"/>
      <c r="AT75" s="11"/>
      <c r="AU75" s="1"/>
      <c r="AV75" s="1"/>
      <c r="AW75" s="1"/>
      <c r="AX75" s="1"/>
      <c r="AY75" s="1"/>
      <c r="AZ75" s="1"/>
    </row>
    <row r="76" spans="1:52" s="12" customFormat="1" ht="14.4" customHeight="1" thickBot="1" x14ac:dyDescent="0.35">
      <c r="A76" s="1"/>
      <c r="B76" s="42" t="s">
        <v>227</v>
      </c>
      <c r="C76" s="1"/>
      <c r="D76" s="1"/>
      <c r="E76" s="1"/>
      <c r="F76" s="1"/>
      <c r="G76" s="1"/>
      <c r="H76" s="1"/>
      <c r="J76" s="1"/>
      <c r="K76" s="1"/>
      <c r="L76" s="1"/>
      <c r="M76" s="1"/>
      <c r="N76" s="1"/>
      <c r="O76" s="1"/>
      <c r="P76" s="212"/>
      <c r="Q76" s="1"/>
      <c r="R76" s="1"/>
      <c r="S76" s="1"/>
      <c r="T76" s="1"/>
      <c r="U76" s="1"/>
      <c r="V76" s="1"/>
      <c r="W76" s="1"/>
      <c r="X76" s="212"/>
      <c r="Y76" s="1"/>
      <c r="Z76" s="1"/>
      <c r="AA76" s="1"/>
      <c r="AB76" s="1"/>
      <c r="AC76" s="1"/>
      <c r="AD76" s="1"/>
      <c r="AE76" s="1"/>
      <c r="AF76" s="1"/>
      <c r="AG76" s="1"/>
      <c r="AH76" s="1"/>
      <c r="AI76" s="6"/>
      <c r="AJ76" s="6"/>
      <c r="AK76" s="16"/>
      <c r="AL76" s="16"/>
      <c r="AM76" s="17"/>
      <c r="AN76" s="17"/>
      <c r="AO76" s="18"/>
      <c r="AP76" s="18"/>
      <c r="AQ76" s="19"/>
      <c r="AR76" s="19"/>
      <c r="AS76" s="11"/>
      <c r="AT76" s="11"/>
      <c r="AU76" s="1"/>
      <c r="AV76" s="1"/>
      <c r="AW76" s="1"/>
      <c r="AX76" s="1"/>
      <c r="AY76" s="1"/>
      <c r="AZ76" s="1"/>
    </row>
    <row r="77" spans="1:52" s="12" customFormat="1" ht="14.4" customHeight="1" x14ac:dyDescent="0.3">
      <c r="A77" s="1"/>
      <c r="B77" s="1"/>
      <c r="C77" s="1"/>
      <c r="D77" s="1"/>
      <c r="E77" s="1"/>
      <c r="F77" s="14"/>
      <c r="G77" s="13"/>
      <c r="H77" s="252"/>
      <c r="I77" s="252"/>
      <c r="J77" s="252"/>
      <c r="K77" s="252"/>
      <c r="L77" s="252"/>
      <c r="M77" s="252" t="s">
        <v>139</v>
      </c>
      <c r="N77" s="253"/>
      <c r="O77" s="680">
        <f>($K70-O68-O67-O69)</f>
        <v>-1163.8000740466455</v>
      </c>
      <c r="P77" s="1155" t="s">
        <v>34</v>
      </c>
      <c r="Q77" s="711">
        <f>($K70-Q68-Q67-Q69)</f>
        <v>-1163.8000740466455</v>
      </c>
      <c r="R77" s="1013" t="s">
        <v>34</v>
      </c>
      <c r="S77" s="720">
        <f>($K70-S68-S67-S69)</f>
        <v>-1163.8000740466455</v>
      </c>
      <c r="T77" s="1019" t="s">
        <v>34</v>
      </c>
      <c r="U77" s="728">
        <f>($K70-U68-U67-U69)</f>
        <v>-1163.8000740466455</v>
      </c>
      <c r="V77" s="1024" t="s">
        <v>34</v>
      </c>
      <c r="W77" s="736">
        <f>($K70-W68-W67-W69)</f>
        <v>-6400.9004072565658</v>
      </c>
      <c r="X77" s="1030" t="s">
        <v>34</v>
      </c>
      <c r="Y77" s="1"/>
      <c r="Z77" s="1"/>
      <c r="AA77" s="1"/>
      <c r="AB77" s="1"/>
      <c r="AC77" s="1"/>
      <c r="AD77" s="1"/>
      <c r="AE77" s="1"/>
      <c r="AF77" s="1"/>
      <c r="AG77" s="1"/>
      <c r="AH77" s="1"/>
      <c r="AI77" s="6"/>
      <c r="AJ77" s="6"/>
      <c r="AK77" s="16"/>
      <c r="AL77" s="16"/>
      <c r="AM77" s="17"/>
      <c r="AN77" s="17"/>
      <c r="AO77" s="18"/>
      <c r="AP77" s="18"/>
      <c r="AQ77" s="19"/>
      <c r="AR77" s="19"/>
      <c r="AS77" s="11"/>
      <c r="AT77" s="11"/>
      <c r="AU77" s="1"/>
      <c r="AV77" s="1"/>
      <c r="AW77" s="1"/>
      <c r="AX77" s="1"/>
      <c r="AY77" s="1"/>
      <c r="AZ77" s="1"/>
    </row>
    <row r="78" spans="1:52" s="12" customFormat="1" ht="14.4" customHeight="1" x14ac:dyDescent="0.3">
      <c r="A78" s="1282" t="s">
        <v>240</v>
      </c>
      <c r="B78" s="1283"/>
      <c r="C78" s="1"/>
      <c r="D78" s="1"/>
      <c r="E78" s="1"/>
      <c r="F78" s="21"/>
      <c r="G78" s="22"/>
      <c r="H78" s="39"/>
      <c r="I78" s="39"/>
      <c r="J78" s="39"/>
      <c r="K78" s="39"/>
      <c r="L78" s="39"/>
      <c r="M78" s="39" t="s">
        <v>70</v>
      </c>
      <c r="N78" s="255"/>
      <c r="O78" s="681">
        <f>O77/($K70-O77)</f>
        <v>-4.9236580385363604E-2</v>
      </c>
      <c r="P78" s="1006"/>
      <c r="Q78" s="712">
        <f>Q77/($K70-Q77)</f>
        <v>-4.9236580385363604E-2</v>
      </c>
      <c r="R78" s="1014"/>
      <c r="S78" s="721">
        <f>S77/($K70-S77)</f>
        <v>-4.9236580385363604E-2</v>
      </c>
      <c r="T78" s="1020"/>
      <c r="U78" s="729">
        <f>U77/($K70-U77)</f>
        <v>-4.9236580385363604E-2</v>
      </c>
      <c r="V78" s="1025"/>
      <c r="W78" s="737">
        <f>W77/($K70-W77)</f>
        <v>-0.22168388762921862</v>
      </c>
      <c r="X78" s="1031"/>
      <c r="Y78" s="1"/>
      <c r="Z78" s="1"/>
      <c r="AA78" s="1"/>
      <c r="AB78" s="1"/>
      <c r="AC78" s="1"/>
      <c r="AD78" s="1"/>
      <c r="AE78" s="1"/>
      <c r="AF78" s="1"/>
      <c r="AG78" s="1"/>
      <c r="AH78" s="1"/>
      <c r="AI78" s="6"/>
      <c r="AJ78" s="6"/>
      <c r="AK78" s="16"/>
      <c r="AL78" s="16"/>
      <c r="AM78" s="17"/>
      <c r="AN78" s="17"/>
      <c r="AO78" s="18"/>
      <c r="AP78" s="18"/>
      <c r="AQ78" s="19"/>
      <c r="AR78" s="19"/>
      <c r="AS78" s="11"/>
      <c r="AT78" s="11"/>
      <c r="AU78" s="1"/>
      <c r="AV78" s="1"/>
      <c r="AW78" s="1"/>
      <c r="AX78" s="1"/>
      <c r="AY78" s="1"/>
      <c r="AZ78" s="1"/>
    </row>
    <row r="79" spans="1:52" s="12" customFormat="1" ht="14.4" customHeight="1" x14ac:dyDescent="0.3">
      <c r="A79" s="1284" t="s">
        <v>250</v>
      </c>
      <c r="B79" s="1285"/>
      <c r="C79" s="1285"/>
      <c r="D79" s="1286"/>
      <c r="E79" s="1"/>
      <c r="F79" s="256"/>
      <c r="G79" s="72"/>
      <c r="H79" s="74"/>
      <c r="I79" s="74"/>
      <c r="J79" s="74"/>
      <c r="K79" s="74"/>
      <c r="L79" s="74"/>
      <c r="M79" s="74" t="s">
        <v>145</v>
      </c>
      <c r="N79" s="257"/>
      <c r="O79" s="682">
        <f>(1-(O78*-1))*O61</f>
        <v>27381.986484901528</v>
      </c>
      <c r="P79" s="1007" t="s">
        <v>114</v>
      </c>
      <c r="Q79" s="713">
        <f>(1-(Q78*-1))*Q61</f>
        <v>27381.986484901528</v>
      </c>
      <c r="R79" s="1015" t="s">
        <v>114</v>
      </c>
      <c r="S79" s="722">
        <f>(1-(S78*-1))*S61</f>
        <v>27381.986484901528</v>
      </c>
      <c r="T79" s="1021" t="s">
        <v>114</v>
      </c>
      <c r="U79" s="730">
        <f>(1-(U78*-1))*U61</f>
        <v>27381.986484901528</v>
      </c>
      <c r="V79" s="1026" t="s">
        <v>114</v>
      </c>
      <c r="W79" s="738">
        <f>(1-(W78*-1))*W61</f>
        <v>22415.504036278504</v>
      </c>
      <c r="X79" s="1031" t="s">
        <v>114</v>
      </c>
      <c r="Y79" s="1"/>
      <c r="Z79" s="1"/>
      <c r="AA79" s="1"/>
      <c r="AB79" s="1"/>
      <c r="AC79" s="1"/>
      <c r="AD79" s="1"/>
      <c r="AE79" s="1"/>
      <c r="AF79" s="1"/>
      <c r="AG79" s="1"/>
      <c r="AH79" s="1"/>
      <c r="AI79" s="6"/>
      <c r="AJ79" s="6"/>
      <c r="AK79" s="16"/>
      <c r="AL79" s="16"/>
      <c r="AM79" s="17"/>
      <c r="AN79" s="17"/>
      <c r="AO79" s="18"/>
      <c r="AP79" s="18"/>
      <c r="AQ79" s="19"/>
      <c r="AR79" s="19"/>
      <c r="AS79" s="11"/>
      <c r="AT79" s="11"/>
      <c r="AU79" s="1"/>
      <c r="AV79" s="1"/>
      <c r="AW79" s="1"/>
      <c r="AX79" s="1"/>
      <c r="AY79" s="1"/>
      <c r="AZ79" s="1"/>
    </row>
    <row r="80" spans="1:52" s="12" customFormat="1" ht="14.4" customHeight="1" x14ac:dyDescent="0.3">
      <c r="A80" s="1"/>
      <c r="B80" s="1"/>
      <c r="C80" s="1"/>
      <c r="D80" s="254"/>
      <c r="E80" s="1"/>
      <c r="F80" s="21"/>
      <c r="G80" s="22"/>
      <c r="H80" s="22"/>
      <c r="I80" s="39"/>
      <c r="J80" s="39"/>
      <c r="K80" s="39"/>
      <c r="L80" s="39"/>
      <c r="M80" s="39" t="s">
        <v>220</v>
      </c>
      <c r="N80" s="255"/>
      <c r="O80" s="683">
        <f>O79/O62</f>
        <v>1140.9161035375637</v>
      </c>
      <c r="P80" s="1007" t="s">
        <v>114</v>
      </c>
      <c r="Q80" s="714">
        <f>Q79/Q62</f>
        <v>1140.9161035375637</v>
      </c>
      <c r="R80" s="1015" t="s">
        <v>114</v>
      </c>
      <c r="S80" s="723">
        <f>S79/S62</f>
        <v>1140.9161035375637</v>
      </c>
      <c r="T80" s="1021" t="s">
        <v>114</v>
      </c>
      <c r="U80" s="731">
        <f>U79/U62</f>
        <v>1140.9161035375637</v>
      </c>
      <c r="V80" s="1026" t="s">
        <v>114</v>
      </c>
      <c r="W80" s="739">
        <f>W79/W62</f>
        <v>933.97933484493763</v>
      </c>
      <c r="X80" s="1031" t="s">
        <v>114</v>
      </c>
      <c r="Y80" s="1"/>
      <c r="Z80" s="1"/>
      <c r="AA80" s="1"/>
      <c r="AB80" s="1"/>
      <c r="AC80" s="1"/>
      <c r="AD80" s="1"/>
      <c r="AE80" s="1"/>
      <c r="AF80" s="1"/>
      <c r="AG80" s="1"/>
      <c r="AH80" s="1"/>
      <c r="AI80" s="6"/>
      <c r="AJ80" s="6"/>
      <c r="AK80" s="16"/>
      <c r="AL80" s="16"/>
      <c r="AM80" s="17"/>
      <c r="AN80" s="17"/>
      <c r="AO80" s="18"/>
      <c r="AP80" s="18"/>
      <c r="AQ80" s="19"/>
      <c r="AR80" s="19"/>
      <c r="AS80" s="11"/>
      <c r="AT80" s="11"/>
      <c r="AU80" s="1"/>
      <c r="AV80" s="1"/>
      <c r="AW80" s="1"/>
      <c r="AX80" s="1"/>
      <c r="AY80" s="1"/>
      <c r="AZ80" s="1"/>
    </row>
    <row r="81" spans="1:52" s="12" customFormat="1" ht="14.4" customHeight="1" x14ac:dyDescent="0.3">
      <c r="A81" s="1"/>
      <c r="B81" s="1"/>
      <c r="C81" s="1"/>
      <c r="D81" s="254"/>
      <c r="E81" s="1"/>
      <c r="F81" s="21"/>
      <c r="G81" s="22"/>
      <c r="H81" s="22"/>
      <c r="I81" s="39"/>
      <c r="J81" s="39"/>
      <c r="K81" s="39"/>
      <c r="L81" s="39"/>
      <c r="M81" s="39" t="s">
        <v>123</v>
      </c>
      <c r="N81" s="255"/>
      <c r="O81" s="683">
        <f>($K70-O68-O69)/O64</f>
        <v>676.33118338237296</v>
      </c>
      <c r="P81" s="1007" t="s">
        <v>114</v>
      </c>
      <c r="Q81" s="714">
        <f>($K70-Q68-Q69)/Q64</f>
        <v>676.33118338237296</v>
      </c>
      <c r="R81" s="1015" t="s">
        <v>114</v>
      </c>
      <c r="S81" s="723">
        <f>($K70-S68-S69)/S64</f>
        <v>676.33118338237296</v>
      </c>
      <c r="T81" s="1021" t="s">
        <v>114</v>
      </c>
      <c r="U81" s="731">
        <f>($K70-U68-U69)/U64</f>
        <v>676.33118338237296</v>
      </c>
      <c r="V81" s="1026" t="s">
        <v>114</v>
      </c>
      <c r="W81" s="739">
        <f>($K70-W68-W69)/W64</f>
        <v>514.01169937060342</v>
      </c>
      <c r="X81" s="1031" t="s">
        <v>114</v>
      </c>
      <c r="Y81" s="1"/>
      <c r="Z81" s="1"/>
      <c r="AA81" s="1"/>
      <c r="AB81" s="1"/>
      <c r="AC81" s="1"/>
      <c r="AD81" s="1"/>
      <c r="AE81" s="1"/>
      <c r="AF81" s="1"/>
      <c r="AG81" s="1"/>
      <c r="AH81" s="1"/>
      <c r="AI81" s="6"/>
      <c r="AJ81" s="6"/>
      <c r="AK81" s="16"/>
      <c r="AL81" s="16"/>
      <c r="AM81" s="17"/>
      <c r="AN81" s="17"/>
      <c r="AO81" s="18"/>
      <c r="AP81" s="18"/>
      <c r="AQ81" s="19"/>
      <c r="AR81" s="19"/>
      <c r="AS81" s="11"/>
      <c r="AT81" s="11"/>
      <c r="AU81" s="1"/>
      <c r="AV81" s="1"/>
      <c r="AW81" s="1"/>
      <c r="AX81" s="1"/>
      <c r="AY81" s="1"/>
      <c r="AZ81" s="1"/>
    </row>
    <row r="82" spans="1:52" s="12" customFormat="1" ht="14.4" customHeight="1" x14ac:dyDescent="0.3">
      <c r="A82" s="1"/>
      <c r="B82" s="1"/>
      <c r="C82" s="1"/>
      <c r="D82" s="254"/>
      <c r="E82" s="1"/>
      <c r="F82" s="256"/>
      <c r="G82" s="72"/>
      <c r="H82" s="72"/>
      <c r="I82" s="39"/>
      <c r="J82" s="39"/>
      <c r="K82" s="39"/>
      <c r="L82" s="39"/>
      <c r="M82" s="39" t="s">
        <v>146</v>
      </c>
      <c r="N82" s="257"/>
      <c r="O82" s="682">
        <f>K70/O64</f>
        <v>985.66223036302335</v>
      </c>
      <c r="P82" s="1007" t="s">
        <v>114</v>
      </c>
      <c r="Q82" s="713">
        <f>K70/Q64</f>
        <v>985.66223036302335</v>
      </c>
      <c r="R82" s="1015" t="s">
        <v>114</v>
      </c>
      <c r="S82" s="722">
        <f>K70/S64</f>
        <v>985.66223036302335</v>
      </c>
      <c r="T82" s="1021" t="s">
        <v>114</v>
      </c>
      <c r="U82" s="730">
        <f>K70/U64</f>
        <v>985.66223036302335</v>
      </c>
      <c r="V82" s="1026" t="s">
        <v>114</v>
      </c>
      <c r="W82" s="738">
        <f>K70/W64</f>
        <v>749.10329507589779</v>
      </c>
      <c r="X82" s="1032" t="s">
        <v>114</v>
      </c>
      <c r="Y82" s="1"/>
      <c r="Z82" s="1"/>
      <c r="AA82" s="1"/>
      <c r="AB82" s="1"/>
      <c r="AC82" s="1"/>
      <c r="AD82" s="1"/>
      <c r="AE82" s="1"/>
      <c r="AF82" s="1"/>
      <c r="AG82" s="1"/>
      <c r="AH82" s="1"/>
      <c r="AI82" s="6"/>
      <c r="AJ82" s="6"/>
      <c r="AK82" s="16"/>
      <c r="AL82" s="16"/>
      <c r="AM82" s="17"/>
      <c r="AN82" s="17"/>
      <c r="AO82" s="18"/>
      <c r="AP82" s="18"/>
      <c r="AQ82" s="19"/>
      <c r="AR82" s="19"/>
      <c r="AS82" s="11"/>
      <c r="AT82" s="11"/>
      <c r="AU82" s="1"/>
      <c r="AV82" s="1"/>
      <c r="AW82" s="1"/>
      <c r="AX82" s="1"/>
      <c r="AY82" s="1"/>
      <c r="AZ82" s="1"/>
    </row>
    <row r="83" spans="1:52" s="12" customFormat="1" ht="14.4" customHeight="1" x14ac:dyDescent="0.3">
      <c r="A83" s="1"/>
      <c r="B83" s="1"/>
      <c r="C83" s="1"/>
      <c r="D83" s="1"/>
      <c r="E83" s="1"/>
      <c r="F83" s="258"/>
      <c r="G83" s="46"/>
      <c r="H83" s="46"/>
      <c r="I83" s="46"/>
      <c r="J83" s="46"/>
      <c r="K83" s="48"/>
      <c r="L83" s="48"/>
      <c r="M83" s="48" t="s">
        <v>87</v>
      </c>
      <c r="N83" s="48"/>
      <c r="O83" s="684">
        <f>O77/$K71*-1</f>
        <v>14.547500925583069</v>
      </c>
      <c r="P83" s="1008" t="s">
        <v>215</v>
      </c>
      <c r="Q83" s="51">
        <f>Q77/$K71*-1</f>
        <v>14.547500925583069</v>
      </c>
      <c r="R83" s="1016" t="s">
        <v>215</v>
      </c>
      <c r="S83" s="52">
        <f>S77/$K71*-1</f>
        <v>14.547500925583069</v>
      </c>
      <c r="T83" s="1022" t="s">
        <v>215</v>
      </c>
      <c r="U83" s="53">
        <f>U77/$K71*-1</f>
        <v>14.547500925583069</v>
      </c>
      <c r="V83" s="1027" t="s">
        <v>215</v>
      </c>
      <c r="W83" s="54">
        <f>W77/$K71*-1</f>
        <v>80.011255090707067</v>
      </c>
      <c r="X83" s="1033" t="s">
        <v>215</v>
      </c>
      <c r="Y83" s="1"/>
      <c r="Z83" s="1"/>
      <c r="AA83" s="1"/>
      <c r="AB83" s="1"/>
      <c r="AC83" s="1"/>
      <c r="AD83" s="1"/>
      <c r="AE83" s="1"/>
      <c r="AF83" s="1"/>
      <c r="AG83" s="1"/>
      <c r="AH83" s="1"/>
      <c r="AI83" s="6"/>
      <c r="AJ83" s="6"/>
      <c r="AK83" s="16"/>
      <c r="AL83" s="16"/>
      <c r="AM83" s="17"/>
      <c r="AN83" s="17"/>
      <c r="AO83" s="18"/>
      <c r="AP83" s="18"/>
      <c r="AQ83" s="19"/>
      <c r="AR83" s="19"/>
      <c r="AS83" s="11"/>
      <c r="AT83" s="11"/>
      <c r="AU83" s="1"/>
      <c r="AV83" s="1"/>
      <c r="AW83" s="1"/>
      <c r="AX83" s="1"/>
      <c r="AY83" s="1"/>
      <c r="AZ83" s="1"/>
    </row>
    <row r="84" spans="1:52" s="12" customFormat="1" ht="14.4" customHeight="1" x14ac:dyDescent="0.3">
      <c r="A84" s="1"/>
      <c r="B84" s="1"/>
      <c r="C84" s="1"/>
      <c r="D84" s="1"/>
      <c r="E84" s="1"/>
      <c r="F84" s="21"/>
      <c r="G84" s="22"/>
      <c r="H84" s="22"/>
      <c r="I84" s="22"/>
      <c r="J84" s="22"/>
      <c r="K84" s="39"/>
      <c r="L84" s="39"/>
      <c r="M84" s="39" t="s">
        <v>69</v>
      </c>
      <c r="N84" s="39"/>
      <c r="O84" s="710">
        <v>5</v>
      </c>
      <c r="P84" s="1009" t="s">
        <v>114</v>
      </c>
      <c r="Q84" s="719">
        <v>10</v>
      </c>
      <c r="R84" s="1017" t="s">
        <v>114</v>
      </c>
      <c r="S84" s="719">
        <v>20</v>
      </c>
      <c r="T84" s="1023" t="s">
        <v>114</v>
      </c>
      <c r="U84" s="719">
        <v>60</v>
      </c>
      <c r="V84" s="1028" t="s">
        <v>114</v>
      </c>
      <c r="W84" s="719">
        <v>60</v>
      </c>
      <c r="X84" s="1033" t="s">
        <v>114</v>
      </c>
      <c r="Y84" s="1"/>
      <c r="Z84" s="1"/>
      <c r="AA84" s="1"/>
      <c r="AB84" s="1"/>
      <c r="AC84" s="1"/>
      <c r="AD84" s="1"/>
      <c r="AE84" s="1"/>
      <c r="AF84" s="1"/>
      <c r="AG84" s="1"/>
      <c r="AH84" s="1"/>
      <c r="AI84" s="6"/>
      <c r="AJ84" s="6"/>
      <c r="AK84" s="16"/>
      <c r="AL84" s="16"/>
      <c r="AM84" s="17"/>
      <c r="AN84" s="17"/>
      <c r="AO84" s="18"/>
      <c r="AP84" s="18"/>
      <c r="AQ84" s="19"/>
      <c r="AR84" s="19"/>
      <c r="AS84" s="11"/>
      <c r="AT84" s="11"/>
      <c r="AU84" s="1"/>
      <c r="AV84" s="1"/>
      <c r="AW84" s="1"/>
      <c r="AX84" s="1"/>
      <c r="AY84" s="1"/>
      <c r="AZ84" s="1"/>
    </row>
    <row r="85" spans="1:52" s="12" customFormat="1" ht="14.4" customHeight="1" thickBot="1" x14ac:dyDescent="0.35">
      <c r="A85" s="1"/>
      <c r="B85" s="1"/>
      <c r="C85" s="1"/>
      <c r="D85" s="1"/>
      <c r="E85" s="1"/>
      <c r="F85" s="24"/>
      <c r="G85" s="25"/>
      <c r="H85" s="25"/>
      <c r="I85" s="25"/>
      <c r="J85" s="25"/>
      <c r="K85" s="260"/>
      <c r="L85" s="260"/>
      <c r="M85" s="260" t="s">
        <v>56</v>
      </c>
      <c r="N85" s="260"/>
      <c r="O85" s="679">
        <f>O60/O84</f>
        <v>145.47500925583114</v>
      </c>
      <c r="P85" s="1010"/>
      <c r="Q85" s="715">
        <f>Q60/Q84</f>
        <v>72.73750462791557</v>
      </c>
      <c r="R85" s="1018"/>
      <c r="S85" s="724">
        <f>S60/S84</f>
        <v>36.368752313957785</v>
      </c>
      <c r="T85" s="290"/>
      <c r="U85" s="732">
        <f>U60/U84</f>
        <v>12.122917437985928</v>
      </c>
      <c r="V85" s="1029"/>
      <c r="W85" s="740">
        <f>W60/W84</f>
        <v>12.122917437985928</v>
      </c>
      <c r="X85" s="1034"/>
      <c r="Y85" s="1"/>
      <c r="Z85" s="1"/>
      <c r="AA85" s="1"/>
      <c r="AB85" s="1"/>
      <c r="AC85" s="1"/>
      <c r="AD85" s="1"/>
      <c r="AE85" s="1"/>
      <c r="AF85" s="1"/>
      <c r="AG85" s="1"/>
      <c r="AH85" s="1"/>
      <c r="AI85" s="6"/>
      <c r="AJ85" s="6"/>
      <c r="AK85" s="16"/>
      <c r="AL85" s="16"/>
      <c r="AM85" s="17"/>
      <c r="AN85" s="17"/>
      <c r="AO85" s="18"/>
      <c r="AP85" s="18"/>
      <c r="AQ85" s="19"/>
      <c r="AR85" s="19"/>
      <c r="AS85" s="11"/>
      <c r="AT85" s="11"/>
      <c r="AU85" s="1"/>
      <c r="AV85" s="1"/>
      <c r="AW85" s="1"/>
      <c r="AX85" s="1"/>
      <c r="AY85" s="1"/>
      <c r="AZ85" s="1"/>
    </row>
    <row r="86" spans="1:52" s="12" customFormat="1" ht="14.4" hidden="1" customHeight="1" x14ac:dyDescent="0.3">
      <c r="A86" s="1"/>
      <c r="B86" s="1"/>
      <c r="C86" s="1"/>
      <c r="D86" s="1"/>
      <c r="E86" s="1"/>
      <c r="F86" s="22"/>
      <c r="G86" s="22"/>
      <c r="H86" s="22"/>
      <c r="I86" s="22"/>
      <c r="J86" s="22"/>
      <c r="K86" s="39"/>
      <c r="L86" s="39"/>
      <c r="M86" s="39"/>
      <c r="N86" s="39"/>
      <c r="O86" s="820"/>
      <c r="P86" s="1011"/>
      <c r="Q86" s="821"/>
      <c r="R86" s="821"/>
      <c r="S86" s="822"/>
      <c r="T86" s="822"/>
      <c r="U86" s="823"/>
      <c r="V86" s="823"/>
      <c r="W86" s="824"/>
      <c r="X86" s="239"/>
      <c r="Y86" s="1"/>
      <c r="Z86" s="1"/>
      <c r="AA86" s="1"/>
      <c r="AB86" s="1"/>
      <c r="AC86" s="1"/>
      <c r="AD86" s="1"/>
      <c r="AE86" s="1"/>
      <c r="AF86" s="1"/>
      <c r="AG86" s="1"/>
      <c r="AH86" s="1"/>
      <c r="AI86" s="6"/>
      <c r="AJ86" s="6"/>
      <c r="AK86" s="16"/>
      <c r="AL86" s="16"/>
      <c r="AM86" s="17"/>
      <c r="AN86" s="17"/>
      <c r="AO86" s="18"/>
      <c r="AP86" s="18"/>
      <c r="AQ86" s="19"/>
      <c r="AR86" s="19"/>
      <c r="AS86" s="11"/>
      <c r="AT86" s="11"/>
      <c r="AU86" s="1"/>
      <c r="AV86" s="1"/>
      <c r="AW86" s="1"/>
      <c r="AX86" s="1"/>
      <c r="AY86" s="1"/>
      <c r="AZ86" s="1"/>
    </row>
    <row r="87" spans="1:52" s="12" customFormat="1" ht="14.4" customHeight="1" x14ac:dyDescent="0.3">
      <c r="P87" s="1012"/>
    </row>
    <row r="88" spans="1:52" s="12" customFormat="1" ht="14.4" customHeight="1" x14ac:dyDescent="0.3">
      <c r="A88" s="1"/>
      <c r="B88" s="42" t="s">
        <v>228</v>
      </c>
      <c r="C88" s="1"/>
      <c r="D88" s="1"/>
      <c r="E88" s="1"/>
      <c r="F88" s="1"/>
      <c r="G88" s="1"/>
      <c r="H88" s="1"/>
      <c r="I88" s="1"/>
      <c r="J88" s="38"/>
      <c r="K88" s="38"/>
      <c r="L88" s="38"/>
      <c r="M88" s="38"/>
      <c r="N88" s="38"/>
      <c r="O88" s="38"/>
      <c r="P88" s="212"/>
      <c r="Q88" s="38"/>
      <c r="R88" s="38"/>
      <c r="S88" s="38"/>
      <c r="T88" s="38"/>
      <c r="U88" s="38"/>
      <c r="V88" s="38"/>
      <c r="W88" s="38"/>
      <c r="X88" s="38"/>
      <c r="Y88" s="1"/>
      <c r="Z88" s="1"/>
      <c r="AA88" s="1"/>
      <c r="AB88" s="1"/>
      <c r="AC88" s="1"/>
      <c r="AD88" s="1"/>
      <c r="AE88" s="1"/>
      <c r="AF88" s="1"/>
      <c r="AG88" s="1"/>
      <c r="AH88" s="1"/>
      <c r="AI88" s="6"/>
      <c r="AJ88" s="6"/>
      <c r="AK88" s="16"/>
      <c r="AL88" s="16"/>
      <c r="AM88" s="17"/>
      <c r="AN88" s="17"/>
      <c r="AO88" s="18"/>
      <c r="AP88" s="18"/>
      <c r="AQ88" s="19"/>
      <c r="AR88" s="19"/>
      <c r="AS88" s="11"/>
      <c r="AT88" s="11"/>
      <c r="AU88" s="1"/>
      <c r="AV88" s="1"/>
      <c r="AW88" s="1"/>
      <c r="AX88" s="1"/>
      <c r="AY88" s="1"/>
      <c r="AZ88" s="1"/>
    </row>
    <row r="89" spans="1:52" s="12" customFormat="1" ht="14.4" customHeight="1" x14ac:dyDescent="0.3">
      <c r="E89" s="1314" t="s">
        <v>218</v>
      </c>
      <c r="F89" s="1315"/>
      <c r="G89" s="1315"/>
      <c r="H89" s="1315"/>
      <c r="I89" s="1316"/>
      <c r="J89" s="261"/>
      <c r="K89" s="261"/>
      <c r="L89" s="261"/>
      <c r="M89" s="261"/>
      <c r="N89" s="261"/>
      <c r="O89" s="376"/>
      <c r="P89" s="1012"/>
      <c r="V89" s="1"/>
      <c r="W89" s="1"/>
      <c r="X89" s="1"/>
      <c r="Y89" s="1"/>
      <c r="Z89" s="1"/>
      <c r="AA89" s="1"/>
      <c r="AB89" s="1"/>
      <c r="AC89" s="1"/>
      <c r="AD89" s="1"/>
      <c r="AE89" s="1"/>
      <c r="AF89" s="1"/>
      <c r="AG89" s="1"/>
      <c r="AH89" s="1"/>
      <c r="AI89" s="6"/>
      <c r="AJ89" s="6"/>
      <c r="AK89" s="16"/>
      <c r="AL89" s="16"/>
      <c r="AM89" s="17"/>
      <c r="AN89" s="17"/>
      <c r="AO89" s="18"/>
      <c r="AP89" s="18"/>
      <c r="AQ89" s="19"/>
      <c r="AR89" s="19"/>
      <c r="AS89" s="11"/>
      <c r="AT89" s="11"/>
      <c r="AU89" s="1"/>
      <c r="AV89" s="1"/>
      <c r="AW89" s="1"/>
      <c r="AX89" s="1"/>
      <c r="AY89" s="1"/>
      <c r="AZ89" s="1"/>
    </row>
    <row r="90" spans="1:52" s="12" customFormat="1" ht="14.4" customHeight="1" x14ac:dyDescent="0.3">
      <c r="A90" s="1"/>
      <c r="B90" s="1"/>
      <c r="C90" s="1"/>
      <c r="D90" s="1"/>
      <c r="E90" s="1317" t="s">
        <v>219</v>
      </c>
      <c r="F90" s="1317"/>
      <c r="G90" s="1317"/>
      <c r="H90" s="1317"/>
      <c r="I90" s="1317"/>
      <c r="J90" s="212"/>
      <c r="K90" s="223"/>
      <c r="L90" s="224"/>
      <c r="M90" s="1"/>
      <c r="O90" s="44">
        <v>16000</v>
      </c>
      <c r="P90" s="1012" t="s">
        <v>34</v>
      </c>
      <c r="Q90" s="27" t="s">
        <v>221</v>
      </c>
      <c r="R90" s="1"/>
      <c r="S90" s="1"/>
      <c r="T90" s="1"/>
      <c r="U90" s="1"/>
      <c r="V90" s="1"/>
      <c r="W90" s="1"/>
      <c r="X90" s="1"/>
      <c r="Y90" s="1"/>
      <c r="Z90" s="1"/>
      <c r="AA90" s="1" t="s">
        <v>102</v>
      </c>
      <c r="AB90" s="1"/>
      <c r="AC90" s="1"/>
      <c r="AD90" s="1"/>
      <c r="AE90" s="263">
        <v>2</v>
      </c>
      <c r="AF90" s="1"/>
      <c r="AG90" s="1"/>
      <c r="AH90" s="1"/>
      <c r="AI90" s="6"/>
      <c r="AJ90" s="6"/>
      <c r="AK90" s="16"/>
      <c r="AL90" s="16"/>
      <c r="AM90" s="17"/>
      <c r="AN90" s="17"/>
      <c r="AO90" s="18"/>
      <c r="AP90" s="18"/>
      <c r="AQ90" s="19"/>
      <c r="AR90" s="19"/>
      <c r="AS90" s="11"/>
      <c r="AT90" s="11"/>
      <c r="AU90" s="1"/>
      <c r="AV90" s="1"/>
      <c r="AW90" s="1"/>
      <c r="AX90" s="1"/>
      <c r="AY90" s="1"/>
      <c r="AZ90" s="1"/>
    </row>
    <row r="91" spans="1:52" s="12" customFormat="1" ht="14.4" customHeight="1" x14ac:dyDescent="0.3">
      <c r="A91" s="1282" t="s">
        <v>240</v>
      </c>
      <c r="B91" s="1283"/>
      <c r="C91" s="1"/>
      <c r="D91" s="1"/>
      <c r="E91" s="1318"/>
      <c r="F91" s="1318"/>
      <c r="G91" s="1318"/>
      <c r="H91" s="1318"/>
      <c r="I91" s="1318"/>
      <c r="J91" s="212"/>
      <c r="K91" s="223"/>
      <c r="L91" s="224"/>
      <c r="Y91" s="1"/>
      <c r="Z91" s="1"/>
      <c r="AA91" s="1" t="s">
        <v>104</v>
      </c>
      <c r="AB91" s="1"/>
      <c r="AC91" s="1"/>
      <c r="AD91" s="1"/>
      <c r="AE91" s="1"/>
      <c r="AF91" s="1"/>
      <c r="AG91" s="1"/>
      <c r="AH91" s="1"/>
      <c r="AI91" s="6"/>
      <c r="AJ91" s="6"/>
      <c r="AK91" s="16"/>
      <c r="AL91" s="16"/>
      <c r="AM91" s="17"/>
      <c r="AN91" s="17"/>
      <c r="AO91" s="18"/>
      <c r="AP91" s="18"/>
      <c r="AQ91" s="19"/>
      <c r="AR91" s="19"/>
      <c r="AS91" s="11"/>
      <c r="AT91" s="11"/>
      <c r="AU91" s="1"/>
      <c r="AV91" s="1"/>
      <c r="AW91" s="1"/>
      <c r="AX91" s="1"/>
      <c r="AY91" s="1"/>
      <c r="AZ91" s="1"/>
    </row>
    <row r="92" spans="1:52" s="12" customFormat="1" ht="14.4" customHeight="1" thickBot="1" x14ac:dyDescent="0.35">
      <c r="A92" s="1284" t="s">
        <v>250</v>
      </c>
      <c r="B92" s="1285"/>
      <c r="C92" s="1285"/>
      <c r="D92" s="1286"/>
      <c r="I92" s="264" t="s">
        <v>101</v>
      </c>
      <c r="J92" s="1319" t="str">
        <f>IF(AE90=1,AA90,IF(AE90=2,AA91,IF(AE90=3,AA92,IF(AE90=4,AA93,ERROR))))</f>
        <v>2. Remodel Existing &amp; Add Space (to produce same number of pigs)</v>
      </c>
      <c r="K92" s="1320"/>
      <c r="L92" s="1320"/>
      <c r="M92" s="1320"/>
      <c r="N92" s="1320"/>
      <c r="O92" s="1321"/>
      <c r="P92" s="1321"/>
      <c r="Q92" s="1321"/>
      <c r="R92" s="1321"/>
      <c r="S92" s="1322"/>
      <c r="U92" s="1"/>
      <c r="V92" s="1"/>
      <c r="W92" s="1"/>
      <c r="X92" s="1"/>
      <c r="Y92" s="1"/>
      <c r="Z92" s="1"/>
      <c r="AA92" s="1" t="s">
        <v>251</v>
      </c>
      <c r="AB92" s="1"/>
      <c r="AC92" s="1"/>
      <c r="AD92" s="1"/>
      <c r="AE92" s="1"/>
      <c r="AF92" s="1"/>
      <c r="AG92" s="1"/>
      <c r="AH92" s="1"/>
      <c r="AI92" s="6"/>
      <c r="AJ92" s="6"/>
      <c r="AK92" s="16"/>
      <c r="AL92" s="16"/>
      <c r="AM92" s="17"/>
      <c r="AN92" s="17"/>
      <c r="AO92" s="18"/>
      <c r="AP92" s="18"/>
      <c r="AQ92" s="19"/>
      <c r="AR92" s="19"/>
      <c r="AS92" s="11"/>
      <c r="AT92" s="11"/>
      <c r="AU92" s="1"/>
      <c r="AV92" s="1"/>
      <c r="AW92" s="1"/>
      <c r="AX92" s="1"/>
      <c r="AY92" s="1"/>
      <c r="AZ92" s="1"/>
    </row>
    <row r="93" spans="1:52" s="12" customFormat="1" ht="14.4" customHeight="1" thickBot="1" x14ac:dyDescent="0.35">
      <c r="A93" s="1"/>
      <c r="B93" s="1"/>
      <c r="C93" s="1"/>
      <c r="D93" s="1"/>
      <c r="G93" s="981"/>
      <c r="H93" s="981"/>
      <c r="I93" s="981"/>
      <c r="J93" s="1168" t="s">
        <v>262</v>
      </c>
      <c r="K93" s="1169">
        <f>K182</f>
        <v>17.626696709755347</v>
      </c>
      <c r="L93" s="1170" t="s">
        <v>114</v>
      </c>
      <c r="M93" s="38"/>
      <c r="N93" s="39"/>
      <c r="O93" s="1197">
        <f>O182</f>
        <v>19.542220799008909</v>
      </c>
      <c r="P93" s="1198" t="s">
        <v>114</v>
      </c>
      <c r="Q93" s="1199">
        <f>Q182</f>
        <v>19.852295525098143</v>
      </c>
      <c r="R93" s="1200" t="s">
        <v>114</v>
      </c>
      <c r="S93" s="1199">
        <f>S182</f>
        <v>19.904368862386168</v>
      </c>
      <c r="T93" s="1201" t="s">
        <v>114</v>
      </c>
      <c r="U93" s="1199">
        <f>U182</f>
        <v>20.072672359455897</v>
      </c>
      <c r="V93" s="1202" t="s">
        <v>114</v>
      </c>
      <c r="W93" s="1199">
        <f>W182</f>
        <v>20.891848034764102</v>
      </c>
      <c r="X93" s="1203" t="s">
        <v>114</v>
      </c>
      <c r="Y93" s="1"/>
      <c r="Z93" s="1"/>
      <c r="AA93" s="1" t="s">
        <v>103</v>
      </c>
      <c r="AB93" s="1"/>
      <c r="AC93" s="1"/>
      <c r="AD93" s="1"/>
      <c r="AE93" s="1"/>
      <c r="AF93" s="1"/>
      <c r="AG93" s="1"/>
      <c r="AH93" s="1"/>
      <c r="AI93" s="6"/>
      <c r="AJ93" s="6"/>
      <c r="AK93" s="16"/>
      <c r="AL93" s="16"/>
      <c r="AM93" s="17"/>
      <c r="AN93" s="17"/>
      <c r="AO93" s="18"/>
      <c r="AP93" s="18"/>
      <c r="AQ93" s="19"/>
      <c r="AR93" s="19"/>
      <c r="AS93" s="11"/>
      <c r="AT93" s="11"/>
      <c r="AU93" s="1"/>
      <c r="AV93" s="1"/>
      <c r="AW93" s="1"/>
      <c r="AX93" s="1"/>
      <c r="AY93" s="1"/>
      <c r="AZ93" s="1"/>
    </row>
    <row r="94" spans="1:52" s="12" customFormat="1" ht="14.4" customHeight="1" thickBot="1" x14ac:dyDescent="0.35">
      <c r="A94" s="1"/>
      <c r="B94" s="1"/>
      <c r="C94" s="1"/>
      <c r="D94" s="1"/>
      <c r="E94" s="265" t="s">
        <v>118</v>
      </c>
      <c r="F94" s="1"/>
      <c r="G94" s="1"/>
      <c r="H94" s="38"/>
      <c r="I94" s="262"/>
      <c r="J94" s="212"/>
      <c r="K94" s="223"/>
      <c r="L94" s="1163"/>
      <c r="M94" s="38"/>
      <c r="N94" s="38"/>
      <c r="O94" s="1181" t="str">
        <f>O56</f>
        <v>1. Floor Feeding</v>
      </c>
      <c r="P94" s="1182"/>
      <c r="Q94" s="1183" t="str">
        <f>Q56</f>
        <v xml:space="preserve">2. Short Stalls </v>
      </c>
      <c r="R94" s="1184"/>
      <c r="S94" s="1185" t="str">
        <f>S56</f>
        <v>3. Trickle Feeding</v>
      </c>
      <c r="T94" s="1186"/>
      <c r="U94" s="1187" t="str">
        <f>U56</f>
        <v>4. Elec Sow Feeding</v>
      </c>
      <c r="V94" s="1188"/>
      <c r="W94" s="1189" t="str">
        <f>W56</f>
        <v>5. Free Access Stalls</v>
      </c>
      <c r="X94" s="1190"/>
      <c r="Y94" s="1"/>
      <c r="Z94" s="1"/>
      <c r="AA94" s="1" t="s">
        <v>105</v>
      </c>
      <c r="AB94" s="1"/>
      <c r="AC94" s="1"/>
      <c r="AD94" s="1"/>
      <c r="AE94" s="1"/>
      <c r="AF94" s="1"/>
      <c r="AG94" s="1"/>
      <c r="AH94" s="1"/>
      <c r="AI94" s="6"/>
      <c r="AJ94" s="6"/>
      <c r="AK94" s="16"/>
      <c r="AL94" s="16"/>
      <c r="AM94" s="17"/>
      <c r="AN94" s="17"/>
      <c r="AO94" s="18"/>
      <c r="AP94" s="18"/>
      <c r="AQ94" s="19"/>
      <c r="AR94" s="19"/>
      <c r="AS94" s="11"/>
      <c r="AT94" s="11"/>
      <c r="AU94" s="1"/>
      <c r="AV94" s="1"/>
      <c r="AW94" s="1"/>
      <c r="AX94" s="1"/>
      <c r="AY94" s="1"/>
      <c r="AZ94" s="1"/>
    </row>
    <row r="95" spans="1:52" s="12" customFormat="1" ht="14.4" customHeight="1" x14ac:dyDescent="0.3">
      <c r="A95" s="1"/>
      <c r="E95" s="223"/>
      <c r="F95" s="1"/>
      <c r="G95" s="266" t="str">
        <f>AB95</f>
        <v>Sow Gestation Housing</v>
      </c>
      <c r="H95" s="267"/>
      <c r="I95" s="268"/>
      <c r="J95" s="268"/>
      <c r="K95" s="269">
        <f>IF(AA95,I36,0)</f>
        <v>727.37504627915564</v>
      </c>
      <c r="L95" s="1164" t="s">
        <v>114</v>
      </c>
      <c r="M95" s="270"/>
      <c r="N95" s="252"/>
      <c r="O95" s="635">
        <f>IF($AA95,(IF($AE$90=1,AI36*(1+O$78),IF($AE$90=2,AI36,IF($AE$90=3,AI36,IF($AE$90=4,AI36,"ERROR"))))),0)</f>
        <v>727.37504627915564</v>
      </c>
      <c r="P95" s="1001" t="s">
        <v>114</v>
      </c>
      <c r="Q95" s="643">
        <f>IF($AA95,(IF($AE$90=1,AK36*(1+Q$78),IF($AE$90=2,AK36,IF($AE$90=3,AK36,IF($AE$90=4,AK36,"ERROR"))))),0)</f>
        <v>727.37504627915564</v>
      </c>
      <c r="R95" s="1036" t="s">
        <v>114</v>
      </c>
      <c r="S95" s="651">
        <f>IF($AA95,(IF($AE$90=1,AM36*(1+S$78),IF($AE$90=2,AM36,IF($AE$90=3,AM36,IF($AE$90=4,AM36,"ERROR"))))),0)</f>
        <v>727.37504627915564</v>
      </c>
      <c r="T95" s="1039" t="s">
        <v>114</v>
      </c>
      <c r="U95" s="659">
        <f>IF($AA95,(IF($AE$90=1,AO36*(1+U$78),IF($AE$90=2,AO36,IF($AE$90=3,AO36,IF($AE$90=4,AO36,"ERROR"))))),0)</f>
        <v>727.37504627915564</v>
      </c>
      <c r="V95" s="1042" t="s">
        <v>114</v>
      </c>
      <c r="W95" s="667">
        <f>IF($AA95,(IF($AE$90=1,AQ36*(1+W$78),IF($AE$90=2,AQ36,IF($AE$90=3,AQ36,IF($AE$90=4,AQ36,"ERROR"))))),0)</f>
        <v>727.37504627915564</v>
      </c>
      <c r="X95" s="1045" t="s">
        <v>114</v>
      </c>
      <c r="Y95" s="1"/>
      <c r="Z95" s="1"/>
      <c r="AA95" s="263" t="b">
        <v>1</v>
      </c>
      <c r="AB95" s="1" t="s">
        <v>112</v>
      </c>
      <c r="AC95" s="1"/>
      <c r="AD95" s="1"/>
      <c r="AE95" s="212" t="str">
        <f>IF(AA95=TRUE,IF(AA64&gt;14,"OK","ERROR"))</f>
        <v>OK</v>
      </c>
      <c r="AF95" s="212" t="b">
        <f>IF(AA95=FALSE,IF(AB64&lt;1,"OK","ERROR"))</f>
        <v>0</v>
      </c>
      <c r="AG95" s="212"/>
      <c r="AH95" s="1"/>
      <c r="AI95" s="6"/>
      <c r="AJ95" s="272" t="str">
        <f>AB95</f>
        <v>Sow Gestation Housing</v>
      </c>
      <c r="AK95" s="16">
        <f>IF($AE$90=1,AI36*(1+O$78),IF($AE$90=2,AI36,IF($AE$90=3,AI36,IF($AE$90=4,AI36,"ERROR"))))</f>
        <v>727.37504627915564</v>
      </c>
      <c r="AL95" s="16"/>
      <c r="AM95" s="17">
        <f>IF($AE$90=1,AK36*(1+Q$78),IF($AE$90=2,AK36,IF($AE$90=3,AK36,IF($AE$90=4,AK36,"ERROR"))))</f>
        <v>727.37504627915564</v>
      </c>
      <c r="AN95" s="17"/>
      <c r="AO95" s="18">
        <f>IF($AE$90=1,AM36*(1+S$78),IF($AE$90=2,AM36,IF($AE$90=3,AM36,IF($AE$90=4,AM36,"ERROR"))))</f>
        <v>727.37504627915564</v>
      </c>
      <c r="AP95" s="18"/>
      <c r="AQ95" s="19">
        <f>IF($AE$90=1,AO36*(1+U$78),IF($AE$90=2,AO36,IF($AE$90=3,AO36,IF($AE$90=4,AO36,"ERROR"))))</f>
        <v>727.37504627915564</v>
      </c>
      <c r="AR95" s="19"/>
      <c r="AS95" s="11">
        <f>IF($AE$90=1,AQ36*(1+W$78),IF($AE$90=2,AQ36,IF($AE$90=3,AQ36,IF($AE$90=4,AQ36,"ERROR"))))</f>
        <v>727.37504627915564</v>
      </c>
      <c r="AT95" s="11"/>
      <c r="AU95" s="1"/>
      <c r="AV95" s="1"/>
      <c r="AW95" s="1"/>
      <c r="AX95" s="1"/>
      <c r="AY95" s="1"/>
      <c r="AZ95" s="1"/>
    </row>
    <row r="96" spans="1:52" s="12" customFormat="1" ht="14.4" customHeight="1" x14ac:dyDescent="0.3">
      <c r="A96" s="1"/>
      <c r="E96" s="223"/>
      <c r="F96" s="1"/>
      <c r="G96" s="273" t="str">
        <f>AB96</f>
        <v>Sow Pre-Gestation Housing</v>
      </c>
      <c r="H96" s="274"/>
      <c r="I96" s="275"/>
      <c r="J96" s="275"/>
      <c r="K96" s="276">
        <f>IF($AA96,I37,0)</f>
        <v>296.29026286560537</v>
      </c>
      <c r="L96" s="1165" t="s">
        <v>114</v>
      </c>
      <c r="M96" s="277"/>
      <c r="N96" s="39"/>
      <c r="O96" s="637">
        <f>IF($AA96,(IF($AE$90=1,AI37*(1+O$78),IF($AE$90=2,AI37,IF($AE$90=3,AI37,IF($AE$90=4,AI37,"ERROR"))))),0)</f>
        <v>296.29026286560537</v>
      </c>
      <c r="P96" s="974" t="s">
        <v>114</v>
      </c>
      <c r="Q96" s="645">
        <f>IF($AA96,(IF($AE$90=1,AK37*(1+Q$78),IF($AE$90=2,AK37,IF($AE$90=3,AK37,IF($AE$90=4,AK37,"ERROR"))))),0)</f>
        <v>296.29026286560537</v>
      </c>
      <c r="R96" s="975" t="s">
        <v>114</v>
      </c>
      <c r="S96" s="653">
        <f>IF($AA96,(IF($AE$90=1,AM37*(1+S$78),IF($AE$90=2,AM37,IF($AE$90=3,AM37,IF($AE$90=4,AM37,"ERROR"))))),0)</f>
        <v>296.29026286560537</v>
      </c>
      <c r="T96" s="976" t="s">
        <v>114</v>
      </c>
      <c r="U96" s="661">
        <f>IF($AA96,(IF($AE$90=1,AO37*(1+U$78),IF($AE$90=2,AO37,IF($AE$90=3,AO37,IF($AE$90=4,AO37,"ERROR"))))),0)</f>
        <v>296.29026286560537</v>
      </c>
      <c r="V96" s="977" t="s">
        <v>114</v>
      </c>
      <c r="W96" s="668">
        <f>IF($AA96,(IF($AE$90=1,AQ37*(1+W$78),IF($AE$90=2,AQ37,IF($AE$90=3,AQ37,IF($AE$90=4,AQ37,"ERROR"))))),0)</f>
        <v>296.29026286560537</v>
      </c>
      <c r="X96" s="978" t="s">
        <v>114</v>
      </c>
      <c r="Y96" s="1"/>
      <c r="Z96" s="1"/>
      <c r="AA96" s="263" t="b">
        <v>1</v>
      </c>
      <c r="AB96" s="1" t="s">
        <v>113</v>
      </c>
      <c r="AC96" s="1"/>
      <c r="AD96" s="1"/>
      <c r="AE96" s="212" t="str">
        <f>IF(AA96=TRUE,IF(AA65&gt;14,"OK","ERROR"))</f>
        <v>OK</v>
      </c>
      <c r="AF96" s="212" t="b">
        <f>IF(AA96=FALSE,IF(AB65&lt;1,"OK","ERROR"))</f>
        <v>0</v>
      </c>
      <c r="AG96" s="212"/>
      <c r="AH96" s="1"/>
      <c r="AI96" s="6"/>
      <c r="AJ96" s="272" t="str">
        <f>AB96</f>
        <v>Sow Pre-Gestation Housing</v>
      </c>
      <c r="AK96" s="16">
        <f>IF($AE$90=1,AI37*(1+O$78),IF($AE$90=2,AI37,IF($AE$90=3,AI37,IF($AE$90=4,AI37,"ERROR"))))</f>
        <v>296.29026286560537</v>
      </c>
      <c r="AL96" s="16"/>
      <c r="AM96" s="17">
        <f>IF($AE$90=1,AK37*(1+Q$78),IF($AE$90=2,AK37,IF($AE$90=3,AK37,IF($AE$90=4,AK37,"ERROR"))))</f>
        <v>296.29026286560537</v>
      </c>
      <c r="AN96" s="17"/>
      <c r="AO96" s="18">
        <f>IF($AE$90=1,AM37*(1+S$78),IF($AE$90=2,AM37,IF($AE$90=3,AM37,IF($AE$90=4,AM37,"ERROR"))))</f>
        <v>296.29026286560537</v>
      </c>
      <c r="AP96" s="18"/>
      <c r="AQ96" s="19">
        <f>IF($AE$90=1,AO37*(1+U$78),IF($AE$90=2,AO37,IF($AE$90=3,AO37,IF($AE$90=4,AO37,"ERROR"))))</f>
        <v>296.29026286560537</v>
      </c>
      <c r="AR96" s="19"/>
      <c r="AS96" s="11">
        <f>IF($AE$90=1,AQ37*(1+W$78),IF($AE$90=2,AQ37,IF($AE$90=3,AQ37,IF($AE$90=4,AQ37,"ERROR"))))</f>
        <v>296.29026286560537</v>
      </c>
      <c r="AT96" s="11"/>
      <c r="AU96" s="1"/>
      <c r="AV96" s="1"/>
      <c r="AW96" s="1"/>
      <c r="AX96" s="1"/>
      <c r="AY96" s="1"/>
      <c r="AZ96" s="1"/>
    </row>
    <row r="97" spans="1:52" s="12" customFormat="1" ht="14.4" customHeight="1" thickBot="1" x14ac:dyDescent="0.35">
      <c r="A97" s="1"/>
      <c r="E97" s="223"/>
      <c r="F97" s="1"/>
      <c r="G97" s="283" t="str">
        <f>AB97</f>
        <v>Replacement Gilt Housing</v>
      </c>
      <c r="H97" s="284"/>
      <c r="I97" s="285"/>
      <c r="J97" s="285"/>
      <c r="K97" s="286">
        <f>IF($AA97,I38,0)</f>
        <v>36.386523509811191</v>
      </c>
      <c r="L97" s="1166" t="s">
        <v>114</v>
      </c>
      <c r="M97" s="287"/>
      <c r="N97" s="260"/>
      <c r="O97" s="639">
        <f>IF($AA97,(IF($AE$90=1,AI38*(1+O$78),IF($AE$90=2,AI38,IF($AE$90=3,AI38,IF($AE$90=4,AI38,"ERROR"))))),0)</f>
        <v>36.386523509811191</v>
      </c>
      <c r="P97" s="996" t="s">
        <v>114</v>
      </c>
      <c r="Q97" s="647">
        <f>IF($AA97,(IF($AE$90=1,AK38*(1+Q$78),IF($AE$90=2,AK38,IF($AE$90=3,AK38,IF($AE$90=4,AK38,"ERROR"))))),0)</f>
        <v>36.386523509811191</v>
      </c>
      <c r="R97" s="1037" t="s">
        <v>114</v>
      </c>
      <c r="S97" s="655">
        <f>IF($AA97,(IF($AE$90=1,AM38*(1+S$78),IF($AE$90=2,AM38,IF($AE$90=3,AM38,IF($AE$90=4,AM38,"ERROR"))))),0)</f>
        <v>36.386523509811191</v>
      </c>
      <c r="T97" s="1040" t="s">
        <v>114</v>
      </c>
      <c r="U97" s="663">
        <f>IF($AA97,(IF($AE$90=1,AO38*(1+U$78),IF($AE$90=2,AO38,IF($AE$90=3,AO38,IF($AE$90=4,AO38,"ERROR"))))),0)</f>
        <v>36.386523509811191</v>
      </c>
      <c r="V97" s="1043" t="s">
        <v>114</v>
      </c>
      <c r="W97" s="669">
        <f>IF($AA97,(IF($AE$90=1,AQ38*(1+W$78),IF($AE$90=2,AQ38,IF($AE$90=3,AQ38,IF($AE$90=4,AQ38,"ERROR"))))),0)</f>
        <v>36.386523509811191</v>
      </c>
      <c r="X97" s="1046" t="s">
        <v>114</v>
      </c>
      <c r="Y97" s="1"/>
      <c r="Z97" s="1"/>
      <c r="AA97" s="263" t="b">
        <v>1</v>
      </c>
      <c r="AB97" s="1" t="s">
        <v>111</v>
      </c>
      <c r="AC97" s="1"/>
      <c r="AD97" s="1"/>
      <c r="AE97" s="212" t="str">
        <f>IF(AA97=TRUE,IF(AA66&gt;14,"OK","ERROR"))</f>
        <v>OK</v>
      </c>
      <c r="AF97" s="212" t="b">
        <f>IF(AA97=FALSE,IF(AB66&lt;1,"OK","ERROR"))</f>
        <v>0</v>
      </c>
      <c r="AG97" s="212"/>
      <c r="AH97" s="1"/>
      <c r="AI97" s="6"/>
      <c r="AJ97" s="272" t="str">
        <f>AB97</f>
        <v>Replacement Gilt Housing</v>
      </c>
      <c r="AK97" s="16">
        <f>IF($AE$90=1,AI38*(1+O$78),IF($AE$90=2,AI38,IF($AE$90=3,AI38,IF($AE$90=4,AI38,"ERROR"))))</f>
        <v>36.386523509811191</v>
      </c>
      <c r="AL97" s="16"/>
      <c r="AM97" s="17">
        <f>IF($AE$90=1,AK38*(1+Q$78),IF($AE$90=2,AK38,IF($AE$90=3,AK38,IF($AE$90=4,AK38,"ERROR"))))</f>
        <v>36.386523509811191</v>
      </c>
      <c r="AN97" s="17"/>
      <c r="AO97" s="18">
        <f>IF($AE$90=1,AM38*(1+S$78),IF($AE$90=2,AM38,IF($AE$90=3,AM38,IF($AE$90=4,AM38,"ERROR"))))</f>
        <v>36.386523509811191</v>
      </c>
      <c r="AP97" s="18"/>
      <c r="AQ97" s="19">
        <f>IF($AE$90=1,AO38*(1+U$78),IF($AE$90=2,AO38,IF($AE$90=3,AO38,IF($AE$90=4,AO38,"ERROR"))))</f>
        <v>36.386523509811191</v>
      </c>
      <c r="AR97" s="19"/>
      <c r="AS97" s="11">
        <f>IF($AE$90=1,AQ38*(1+W$78),IF($AE$90=2,AQ38,IF($AE$90=3,AQ38,IF($AE$90=4,AQ38,"ERROR"))))</f>
        <v>36.386523509811191</v>
      </c>
      <c r="AT97" s="11"/>
      <c r="AU97" s="1"/>
      <c r="AV97" s="1"/>
      <c r="AW97" s="1"/>
      <c r="AX97" s="1"/>
      <c r="AY97" s="1"/>
      <c r="AZ97" s="1"/>
    </row>
    <row r="98" spans="1:52" s="12" customFormat="1" ht="14.4" customHeight="1" thickBot="1" x14ac:dyDescent="0.35">
      <c r="A98" s="1"/>
      <c r="B98" s="38"/>
      <c r="C98" s="262"/>
      <c r="D98" s="1"/>
      <c r="E98" s="223"/>
      <c r="F98" s="1"/>
      <c r="G98" s="27"/>
      <c r="H98" s="1"/>
      <c r="I98" s="1"/>
      <c r="J98" s="38" t="s">
        <v>122</v>
      </c>
      <c r="K98" s="293">
        <f>SUM(K95:K97)</f>
        <v>1060.0518326545723</v>
      </c>
      <c r="L98" s="1167" t="s">
        <v>114</v>
      </c>
      <c r="M98" s="252"/>
      <c r="N98" s="252"/>
      <c r="O98" s="635">
        <f>SUM(O95:O97)</f>
        <v>1060.0518326545723</v>
      </c>
      <c r="P98" s="1001" t="s">
        <v>114</v>
      </c>
      <c r="Q98" s="643">
        <f>SUM(Q95:Q97)</f>
        <v>1060.0518326545723</v>
      </c>
      <c r="R98" s="1036" t="s">
        <v>114</v>
      </c>
      <c r="S98" s="651">
        <f>SUM(S95:S97)</f>
        <v>1060.0518326545723</v>
      </c>
      <c r="T98" s="1039" t="s">
        <v>114</v>
      </c>
      <c r="U98" s="659">
        <f>SUM(U95:U97)</f>
        <v>1060.0518326545723</v>
      </c>
      <c r="V98" s="1042" t="s">
        <v>114</v>
      </c>
      <c r="W98" s="667">
        <f>SUM(W95:W97)</f>
        <v>1060.0518326545723</v>
      </c>
      <c r="X98" s="1045" t="s">
        <v>114</v>
      </c>
      <c r="Y98" s="1"/>
      <c r="Z98" s="1"/>
      <c r="AA98" s="1"/>
      <c r="AB98" s="1"/>
      <c r="AC98" s="1"/>
      <c r="AD98" s="1"/>
      <c r="AE98" s="212"/>
      <c r="AF98" s="1"/>
      <c r="AG98" s="1"/>
      <c r="AH98" s="295"/>
      <c r="AI98" s="296"/>
      <c r="AJ98" s="297" t="str">
        <f>J98</f>
        <v>Total Females (Not in Farrowing)</v>
      </c>
      <c r="AK98" s="298">
        <f>SUM(AK95:AK97)</f>
        <v>1060.0518326545723</v>
      </c>
      <c r="AL98" s="298"/>
      <c r="AM98" s="299">
        <f>SUM(AM95:AM97)</f>
        <v>1060.0518326545723</v>
      </c>
      <c r="AN98" s="299"/>
      <c r="AO98" s="300">
        <f>SUM(AO95:AO97)</f>
        <v>1060.0518326545723</v>
      </c>
      <c r="AP98" s="300"/>
      <c r="AQ98" s="301">
        <f>SUM(AQ95:AQ97)</f>
        <v>1060.0518326545723</v>
      </c>
      <c r="AR98" s="301"/>
      <c r="AS98" s="302">
        <f>SUM(AS95:AS97)</f>
        <v>1060.0518326545723</v>
      </c>
      <c r="AT98" s="303"/>
      <c r="AU98" s="1"/>
      <c r="AV98" s="1"/>
      <c r="AW98" s="1"/>
      <c r="AX98" s="1"/>
      <c r="AY98" s="1"/>
      <c r="AZ98" s="1"/>
    </row>
    <row r="99" spans="1:52" s="12" customFormat="1" ht="14.4" customHeight="1" x14ac:dyDescent="0.3">
      <c r="A99" s="1"/>
      <c r="B99" s="38"/>
      <c r="C99" s="262"/>
      <c r="D99" s="1"/>
      <c r="E99" s="40" t="str">
        <f>IF(AE95="ERROR",AA99,IF(AE96="ERROR",AA99,IF(AE97="ERROR",AA99,IF(AF95="ERROR",AA99,IF(AF96="ERROR",AA99,IF(AF97="ERROR",AA99,""))))))</f>
        <v/>
      </c>
      <c r="F99" s="1"/>
      <c r="G99" s="1"/>
      <c r="H99" s="1"/>
      <c r="I99" s="1"/>
      <c r="J99" s="1"/>
      <c r="K99" s="304" t="s">
        <v>117</v>
      </c>
      <c r="L99" s="192"/>
      <c r="M99" s="193"/>
      <c r="N99" s="193"/>
      <c r="O99" s="637">
        <f>O95*O64+O96*O65+O97*O66</f>
        <v>23636.898926323578</v>
      </c>
      <c r="P99" s="974" t="s">
        <v>34</v>
      </c>
      <c r="Q99" s="645">
        <f>Q95*Q64+Q96*Q65+Q97*Q66</f>
        <v>23636.898926323578</v>
      </c>
      <c r="R99" s="975" t="s">
        <v>34</v>
      </c>
      <c r="S99" s="653">
        <f>S95*S64+S96*S65+S97*S66</f>
        <v>23636.898926323578</v>
      </c>
      <c r="T99" s="976" t="s">
        <v>34</v>
      </c>
      <c r="U99" s="661">
        <f>U95*U64+U96*U65+U97*U66</f>
        <v>23636.898926323578</v>
      </c>
      <c r="V99" s="977" t="s">
        <v>34</v>
      </c>
      <c r="W99" s="668">
        <f>W95*W64+W96*W65+W97*W66</f>
        <v>28873.999259533499</v>
      </c>
      <c r="X99" s="978" t="s">
        <v>34</v>
      </c>
      <c r="Y99" s="40"/>
      <c r="Z99" s="1"/>
      <c r="AA99" s="40" t="s">
        <v>158</v>
      </c>
      <c r="AB99" s="1"/>
      <c r="AC99" s="1"/>
      <c r="AD99" s="1"/>
      <c r="AE99" s="1"/>
      <c r="AF99" s="1"/>
      <c r="AG99" s="1"/>
      <c r="AH99" s="1"/>
      <c r="AI99" s="6"/>
      <c r="AJ99" s="305" t="str">
        <f>K99</f>
        <v>Total Building Space Needed</v>
      </c>
      <c r="AK99" s="16">
        <f>AK95*O64+AK96*O65+AK97*O66</f>
        <v>23636.898926323578</v>
      </c>
      <c r="AL99" s="16"/>
      <c r="AM99" s="17">
        <f>AM95*Q64+AM96*Q65+AM97*Q66</f>
        <v>23636.898926323578</v>
      </c>
      <c r="AN99" s="17"/>
      <c r="AO99" s="18">
        <f>AO95*S64+AO96*S65+AO97*S66</f>
        <v>23636.898926323578</v>
      </c>
      <c r="AP99" s="18"/>
      <c r="AQ99" s="19">
        <f>AQ95*U64+AQ96*U65+AQ97*U66</f>
        <v>23636.898926323578</v>
      </c>
      <c r="AR99" s="19"/>
      <c r="AS99" s="11">
        <f>AS95*W64+AS96*W65+AS97*W66</f>
        <v>28873.999259533499</v>
      </c>
      <c r="AT99" s="11"/>
      <c r="AU99" s="1"/>
      <c r="AV99" s="1"/>
      <c r="AW99" s="1"/>
      <c r="AX99" s="1"/>
      <c r="AY99" s="1"/>
      <c r="AZ99" s="1"/>
    </row>
    <row r="100" spans="1:52" s="12" customFormat="1" ht="14.4" customHeight="1" thickBot="1" x14ac:dyDescent="0.35">
      <c r="A100" s="1"/>
      <c r="B100" s="38"/>
      <c r="C100" s="262"/>
      <c r="D100" s="1"/>
      <c r="E100" s="1"/>
      <c r="F100" s="1"/>
      <c r="G100" s="1"/>
      <c r="H100" s="1"/>
      <c r="I100" s="1"/>
      <c r="J100" s="1"/>
      <c r="K100" s="306" t="s">
        <v>138</v>
      </c>
      <c r="L100" s="307"/>
      <c r="M100" s="260"/>
      <c r="N100" s="260"/>
      <c r="O100" s="639">
        <f>IF($AE90=3,$O90,IF($AE90=4,0,IF($AE90=1,MIN(O99,$K70),IF($AE90=2,MIN(O99,$K70),ERROR))))</f>
        <v>22473.098852276933</v>
      </c>
      <c r="P100" s="996" t="s">
        <v>34</v>
      </c>
      <c r="Q100" s="647">
        <f>IF($AE90=3,$O90,IF($AE90=4,0,IF($AE90=1,MIN(Q99,$K70),IF($AE90=2,MIN(Q99,$K70),ERROR))))</f>
        <v>22473.098852276933</v>
      </c>
      <c r="R100" s="1037" t="s">
        <v>34</v>
      </c>
      <c r="S100" s="655">
        <f>IF($AE90=3,$O90,IF($AE90=4,0,IF($AE90=1,MIN(S99,$K70),IF($AE90=2,MIN(S99,$K70),ERROR))))</f>
        <v>22473.098852276933</v>
      </c>
      <c r="T100" s="1040" t="s">
        <v>34</v>
      </c>
      <c r="U100" s="663">
        <f>IF($AE90=3,$O90,IF($AE90=4,0,IF($AE90=1,MIN(U99,$K70),IF($AE90=2,MIN(U99,$K70),ERROR))))</f>
        <v>22473.098852276933</v>
      </c>
      <c r="V100" s="1043" t="s">
        <v>34</v>
      </c>
      <c r="W100" s="669">
        <f>IF($AE90=3,$O90,IF($AE90=4,0,IF($AE90=1,MIN(W99,$K70),IF($AE90=2,MIN(W99,$K70),ERROR))))</f>
        <v>22473.098852276933</v>
      </c>
      <c r="X100" s="1046" t="s">
        <v>34</v>
      </c>
      <c r="Y100" s="40"/>
      <c r="Z100" s="1"/>
      <c r="AA100" s="1"/>
      <c r="AB100" s="1"/>
      <c r="AC100" s="1"/>
      <c r="AD100" s="1"/>
      <c r="AE100" s="1"/>
      <c r="AF100" s="1"/>
      <c r="AG100" s="1"/>
      <c r="AH100" s="1"/>
      <c r="AI100" s="6"/>
      <c r="AJ100" s="305" t="str">
        <f>K100</f>
        <v>Existing Building Space to Remodel</v>
      </c>
      <c r="AK100" s="16">
        <f>IF(O99&gt;$K70,(IF($AE90=3,$O90,IF($AE90=4,0,IF($AE90=1,$K70,IF($AE90=2,$K70,ERROR))))),O99)</f>
        <v>22473.098852276933</v>
      </c>
      <c r="AL100" s="16"/>
      <c r="AM100" s="17">
        <f>IF(Q99&gt;$K70,(IF($AE90=3,$O90,IF($AE90=4,0,IF($AE90=1,$K70,IF($AE90=2,$K70,ERROR))))),Q99)</f>
        <v>22473.098852276933</v>
      </c>
      <c r="AN100" s="17"/>
      <c r="AO100" s="18">
        <f>IF(S99&gt;$K70,(IF($AE90=3,$O90,IF($AE90=4,0,IF($AE90=1,$K70,IF($AE90=2,$K70,ERROR))))),S99)</f>
        <v>22473.098852276933</v>
      </c>
      <c r="AP100" s="18"/>
      <c r="AQ100" s="19">
        <f>IF(U99&gt;$K70,(IF($AE90=3,$O90,IF($AE90=4,0,IF($AE90=1,$K70,IF($AE90=2,$K70,ERROR))))),U99)</f>
        <v>22473.098852276933</v>
      </c>
      <c r="AR100" s="19"/>
      <c r="AS100" s="11">
        <f>IF(W99&gt;$K70,(IF($AE90=3,$O90,IF($AE90=4,0,IF($AE90=1,$K70,IF($AE90=2,$K70,ERROR))))),W99)</f>
        <v>22473.098852276933</v>
      </c>
      <c r="AT100" s="11"/>
      <c r="AU100" s="1"/>
      <c r="AV100" s="1"/>
      <c r="AW100" s="1"/>
      <c r="AX100" s="1"/>
      <c r="AY100" s="1"/>
      <c r="AZ100" s="1"/>
    </row>
    <row r="101" spans="1:52" s="12" customFormat="1" ht="14.4" customHeight="1" x14ac:dyDescent="0.3">
      <c r="A101" s="1"/>
      <c r="B101" s="38"/>
      <c r="C101" s="262"/>
      <c r="D101" s="1"/>
      <c r="E101" s="1"/>
      <c r="F101" s="1"/>
      <c r="G101" s="1"/>
      <c r="H101" s="1"/>
      <c r="I101" s="1"/>
      <c r="J101" s="1"/>
      <c r="K101" s="308" t="s">
        <v>119</v>
      </c>
      <c r="L101" s="309"/>
      <c r="M101" s="310"/>
      <c r="N101" s="310"/>
      <c r="O101" s="635">
        <f>IF((O99-O100)&gt;1,O99-O100,0)</f>
        <v>1163.800074046645</v>
      </c>
      <c r="P101" s="1001" t="s">
        <v>34</v>
      </c>
      <c r="Q101" s="643">
        <f>IF((Q99-Q100)&gt;1,Q99-Q100,0)</f>
        <v>1163.800074046645</v>
      </c>
      <c r="R101" s="1036" t="s">
        <v>34</v>
      </c>
      <c r="S101" s="651">
        <f>IF((S99-S100)&gt;1,S99-S100,0)</f>
        <v>1163.800074046645</v>
      </c>
      <c r="T101" s="1039" t="s">
        <v>34</v>
      </c>
      <c r="U101" s="659">
        <f>IF((U99-U100)&gt;1,U99-U100,0)</f>
        <v>1163.800074046645</v>
      </c>
      <c r="V101" s="1042" t="s">
        <v>34</v>
      </c>
      <c r="W101" s="667">
        <f>IF((W99-W100)&gt;1,W99-W100,0)</f>
        <v>6400.9004072565658</v>
      </c>
      <c r="X101" s="1045" t="s">
        <v>34</v>
      </c>
      <c r="Y101" s="40"/>
      <c r="Z101" s="1"/>
      <c r="AA101" s="1"/>
      <c r="AB101" s="1"/>
      <c r="AC101" s="1"/>
      <c r="AD101" s="1"/>
      <c r="AE101" s="1"/>
      <c r="AF101" s="1"/>
      <c r="AG101" s="1"/>
      <c r="AH101" s="1"/>
      <c r="AI101" s="6"/>
      <c r="AJ101" s="305" t="str">
        <f>K101</f>
        <v>New Building Space to Add</v>
      </c>
      <c r="AK101" s="16"/>
      <c r="AL101" s="16"/>
      <c r="AM101" s="17"/>
      <c r="AN101" s="17"/>
      <c r="AO101" s="18"/>
      <c r="AP101" s="18"/>
      <c r="AQ101" s="19"/>
      <c r="AR101" s="19"/>
      <c r="AS101" s="11"/>
      <c r="AT101" s="11"/>
      <c r="AU101" s="1"/>
      <c r="AV101" s="1"/>
      <c r="AW101" s="1"/>
      <c r="AX101" s="1"/>
      <c r="AY101" s="1"/>
      <c r="AZ101" s="1"/>
    </row>
    <row r="102" spans="1:52" s="12" customFormat="1" ht="14.4" customHeight="1" thickBot="1" x14ac:dyDescent="0.35">
      <c r="A102" s="1"/>
      <c r="B102" s="38"/>
      <c r="C102" s="262"/>
      <c r="D102" s="1"/>
      <c r="E102" s="1"/>
      <c r="F102" s="1"/>
      <c r="G102" s="1"/>
      <c r="H102" s="1"/>
      <c r="I102" s="1"/>
      <c r="J102" s="1"/>
      <c r="K102" s="306" t="s">
        <v>130</v>
      </c>
      <c r="L102" s="307"/>
      <c r="M102" s="260"/>
      <c r="N102" s="311"/>
      <c r="O102" s="639">
        <f>IF($AE90=1,O79,O61)</f>
        <v>28800</v>
      </c>
      <c r="P102" s="996" t="s">
        <v>114</v>
      </c>
      <c r="Q102" s="647">
        <f>IF($AE90=1,Q79,Q61)</f>
        <v>28800</v>
      </c>
      <c r="R102" s="1037" t="s">
        <v>114</v>
      </c>
      <c r="S102" s="655">
        <f>IF($AE90=1,S79,S61)</f>
        <v>28800</v>
      </c>
      <c r="T102" s="1040" t="s">
        <v>114</v>
      </c>
      <c r="U102" s="663">
        <f>IF($AE90=1,U79,U61)</f>
        <v>28800</v>
      </c>
      <c r="V102" s="1043" t="s">
        <v>114</v>
      </c>
      <c r="W102" s="669">
        <f>IF($AE90=1,W79,W61)</f>
        <v>28800</v>
      </c>
      <c r="X102" s="1046" t="s">
        <v>114</v>
      </c>
      <c r="Y102" s="1"/>
      <c r="Z102" s="1"/>
      <c r="AA102" s="1"/>
      <c r="AB102" s="1"/>
      <c r="AC102" s="1"/>
      <c r="AD102" s="1"/>
      <c r="AE102" s="1"/>
      <c r="AF102" s="1"/>
      <c r="AG102" s="1"/>
      <c r="AH102" s="1"/>
      <c r="AI102" s="6"/>
      <c r="AJ102" s="272"/>
      <c r="AK102" s="16"/>
      <c r="AL102" s="16"/>
      <c r="AM102" s="17"/>
      <c r="AN102" s="17"/>
      <c r="AO102" s="18"/>
      <c r="AP102" s="18"/>
      <c r="AQ102" s="19"/>
      <c r="AR102" s="19"/>
      <c r="AS102" s="11"/>
      <c r="AT102" s="11"/>
      <c r="AU102" s="1"/>
      <c r="AV102" s="1"/>
      <c r="AW102" s="1"/>
      <c r="AX102" s="1"/>
      <c r="AY102" s="1"/>
      <c r="AZ102" s="1"/>
    </row>
    <row r="103" spans="1:52" s="12" customFormat="1" ht="14.4" customHeight="1" thickBot="1" x14ac:dyDescent="0.35">
      <c r="B103" s="312"/>
      <c r="C103" s="312"/>
      <c r="D103" s="312"/>
      <c r="E103" s="312"/>
      <c r="F103" s="312"/>
      <c r="G103" s="312"/>
      <c r="H103" s="312"/>
      <c r="I103" s="312"/>
      <c r="J103" s="312"/>
      <c r="K103" s="312"/>
      <c r="L103" s="312"/>
      <c r="M103" s="312"/>
      <c r="N103" s="1"/>
      <c r="O103" s="1"/>
      <c r="P103" s="1"/>
      <c r="Q103" s="1"/>
      <c r="R103" s="1"/>
      <c r="S103" s="1"/>
      <c r="T103" s="1"/>
      <c r="U103" s="1"/>
      <c r="V103" s="1"/>
      <c r="W103" s="1"/>
      <c r="X103" s="1"/>
      <c r="Y103" s="1"/>
      <c r="Z103" s="1"/>
      <c r="AA103" s="1"/>
      <c r="AB103" s="1"/>
      <c r="AC103" s="1"/>
      <c r="AD103" s="1"/>
      <c r="AE103" s="1"/>
      <c r="AF103" s="1"/>
      <c r="AG103" s="1"/>
      <c r="AH103" s="1"/>
      <c r="AI103" s="6"/>
      <c r="AJ103" s="272"/>
      <c r="AK103" s="16"/>
      <c r="AL103" s="16"/>
      <c r="AM103" s="17"/>
      <c r="AN103" s="17"/>
      <c r="AO103" s="18"/>
      <c r="AP103" s="18"/>
      <c r="AQ103" s="19"/>
      <c r="AR103" s="19"/>
      <c r="AS103" s="11"/>
      <c r="AT103" s="11"/>
      <c r="AU103" s="1"/>
      <c r="AV103" s="1"/>
      <c r="AW103" s="1"/>
      <c r="AX103" s="1"/>
      <c r="AY103" s="1"/>
      <c r="AZ103" s="1"/>
    </row>
    <row r="104" spans="1:52" s="12" customFormat="1" ht="14.4" customHeight="1" thickBot="1" x14ac:dyDescent="0.35">
      <c r="A104" s="1287" t="s">
        <v>261</v>
      </c>
      <c r="B104" s="1287"/>
      <c r="C104" s="1287"/>
      <c r="D104" s="1287"/>
      <c r="E104" s="1287"/>
      <c r="F104" s="1287"/>
      <c r="G104" s="1287"/>
      <c r="H104" s="1287"/>
      <c r="I104" s="1287"/>
      <c r="J104" s="1288"/>
      <c r="K104" s="379" t="str">
        <f>K55</f>
        <v>Existing Production System</v>
      </c>
      <c r="L104" s="379"/>
      <c r="M104" s="315"/>
      <c r="N104" s="316" t="s">
        <v>189</v>
      </c>
      <c r="O104" s="1181" t="str">
        <f>O56</f>
        <v>1. Floor Feeding</v>
      </c>
      <c r="P104" s="1182"/>
      <c r="Q104" s="1183" t="str">
        <f>Q56</f>
        <v xml:space="preserve">2. Short Stalls </v>
      </c>
      <c r="R104" s="1184"/>
      <c r="S104" s="1185" t="str">
        <f>S56</f>
        <v>3. Trickle Feeding</v>
      </c>
      <c r="T104" s="1186"/>
      <c r="U104" s="1187" t="str">
        <f>U56</f>
        <v>4. Elec Sow Feeding</v>
      </c>
      <c r="V104" s="1188"/>
      <c r="W104" s="1189" t="str">
        <f>W56</f>
        <v>5. Free Access Stalls</v>
      </c>
      <c r="X104" s="1190"/>
      <c r="Y104" s="1"/>
      <c r="Z104" s="1"/>
      <c r="AA104" s="1"/>
      <c r="AB104" s="1"/>
      <c r="AC104" s="1"/>
      <c r="AD104" s="1"/>
      <c r="AE104" s="1"/>
      <c r="AF104" s="1"/>
      <c r="AG104" s="1"/>
      <c r="AH104" s="1"/>
      <c r="AI104" s="6"/>
      <c r="AJ104" s="6"/>
      <c r="AK104" s="16"/>
      <c r="AL104" s="16"/>
      <c r="AM104" s="17"/>
      <c r="AN104" s="17"/>
      <c r="AO104" s="18"/>
      <c r="AP104" s="18"/>
      <c r="AQ104" s="19"/>
      <c r="AR104" s="19"/>
      <c r="AS104" s="11"/>
      <c r="AT104" s="11"/>
      <c r="AU104" s="1"/>
      <c r="AV104" s="1"/>
      <c r="AW104" s="1"/>
      <c r="AX104" s="1"/>
      <c r="AY104" s="1"/>
      <c r="AZ104" s="1"/>
    </row>
    <row r="105" spans="1:52" s="12" customFormat="1" ht="14.4" customHeight="1" x14ac:dyDescent="0.3">
      <c r="A105" s="1287"/>
      <c r="B105" s="1287"/>
      <c r="C105" s="1287"/>
      <c r="D105" s="1287"/>
      <c r="E105" s="1287"/>
      <c r="F105" s="1287"/>
      <c r="G105" s="1287"/>
      <c r="H105" s="1287"/>
      <c r="I105" s="1287"/>
      <c r="J105" s="1288"/>
      <c r="K105" s="613" t="s">
        <v>137</v>
      </c>
      <c r="L105" s="614"/>
      <c r="M105" s="611"/>
      <c r="N105" s="193" t="s">
        <v>135</v>
      </c>
      <c r="O105" s="615" t="str">
        <f>IF($AE$90=1,$AA$90,IF($AE$90=2,$AA$91,IF($AE$90=3,$AA$92,IF($AE$90=4,$AA$93,"ERROR"))))</f>
        <v>2. Remodel Existing &amp; Add Space (to produce same number of pigs)</v>
      </c>
      <c r="P105" s="617"/>
      <c r="Q105" s="619" t="str">
        <f>IF($AE$90=1,$AA$90,IF($AE$90=2,$AA$91,IF($AE$90=3,$AA$92,IF($AE$90=4,$AA$93,"ERROR"))))</f>
        <v>2. Remodel Existing &amp; Add Space (to produce same number of pigs)</v>
      </c>
      <c r="R105" s="620"/>
      <c r="S105" s="623" t="str">
        <f>IF($AE$90=1,$AA$90,IF($AE$90=2,$AA$91,IF($AE$90=3,$AA$92,IF($AE$90=4,$AA$93,"ERROR"))))</f>
        <v>2. Remodel Existing &amp; Add Space (to produce same number of pigs)</v>
      </c>
      <c r="T105" s="624"/>
      <c r="U105" s="627" t="str">
        <f>IF($AE$90=1,$AA$90,IF($AE$90=2,$AA$91,IF($AE$90=3,$AA$92,IF($AE$90=4,$AA$93,"ERROR"))))</f>
        <v>2. Remodel Existing &amp; Add Space (to produce same number of pigs)</v>
      </c>
      <c r="V105" s="628"/>
      <c r="W105" s="631" t="str">
        <f>IF($AE$90=1,$AA$90,IF($AE$90=2,$AA$91,IF($AE$90=3,$AA$92,IF($AE$90=4,$AA$93,"ERROR"))))</f>
        <v>2. Remodel Existing &amp; Add Space (to produce same number of pigs)</v>
      </c>
      <c r="X105" s="317"/>
      <c r="Y105" s="1" t="s">
        <v>235</v>
      </c>
      <c r="Z105" s="1"/>
      <c r="AA105" s="1"/>
      <c r="AB105" s="1"/>
      <c r="AC105" s="1"/>
      <c r="AD105" s="1"/>
      <c r="AE105" s="1"/>
      <c r="AF105" s="1"/>
      <c r="AG105" s="1"/>
      <c r="AH105" s="1"/>
      <c r="AI105" s="6"/>
      <c r="AJ105" s="6"/>
      <c r="AK105" s="16"/>
      <c r="AL105" s="16"/>
      <c r="AM105" s="17"/>
      <c r="AN105" s="17"/>
      <c r="AO105" s="18"/>
      <c r="AP105" s="18"/>
      <c r="AQ105" s="19"/>
      <c r="AR105" s="19"/>
      <c r="AS105" s="11"/>
      <c r="AT105" s="11"/>
      <c r="AU105" s="1"/>
      <c r="AV105" s="1"/>
      <c r="AW105" s="1"/>
      <c r="AX105" s="1"/>
      <c r="AY105" s="1"/>
      <c r="AZ105" s="1"/>
    </row>
    <row r="106" spans="1:52" s="12" customFormat="1" ht="31.2" customHeight="1" thickBot="1" x14ac:dyDescent="0.35">
      <c r="A106" s="1287"/>
      <c r="B106" s="1287"/>
      <c r="C106" s="1287"/>
      <c r="D106" s="1287"/>
      <c r="E106" s="1287"/>
      <c r="F106" s="1287"/>
      <c r="G106" s="1287"/>
      <c r="H106" s="1287"/>
      <c r="I106" s="1287"/>
      <c r="J106" s="1288"/>
      <c r="K106" s="921" t="s">
        <v>264</v>
      </c>
      <c r="L106" s="319" t="s">
        <v>40</v>
      </c>
      <c r="M106" s="923" t="s">
        <v>124</v>
      </c>
      <c r="N106" s="320" t="s">
        <v>125</v>
      </c>
      <c r="O106" s="616" t="s">
        <v>126</v>
      </c>
      <c r="P106" s="618" t="s">
        <v>40</v>
      </c>
      <c r="Q106" s="621" t="s">
        <v>126</v>
      </c>
      <c r="R106" s="622" t="s">
        <v>40</v>
      </c>
      <c r="S106" s="625" t="s">
        <v>126</v>
      </c>
      <c r="T106" s="626" t="s">
        <v>40</v>
      </c>
      <c r="U106" s="629" t="s">
        <v>126</v>
      </c>
      <c r="V106" s="630" t="s">
        <v>40</v>
      </c>
      <c r="W106" s="632" t="s">
        <v>126</v>
      </c>
      <c r="X106" s="377" t="s">
        <v>40</v>
      </c>
      <c r="Y106" s="265"/>
      <c r="Z106" s="265"/>
      <c r="AA106" s="265"/>
      <c r="AB106" s="265"/>
      <c r="AC106" s="265"/>
      <c r="AD106" s="265"/>
      <c r="AE106" s="265"/>
      <c r="AF106" s="265"/>
      <c r="AG106" s="265"/>
      <c r="AH106" s="1"/>
      <c r="AI106" s="6"/>
      <c r="AJ106" s="6"/>
      <c r="AK106" s="16" t="s">
        <v>55</v>
      </c>
      <c r="AL106" s="16"/>
      <c r="AM106" s="17"/>
      <c r="AN106" s="17"/>
      <c r="AO106" s="18"/>
      <c r="AP106" s="18"/>
      <c r="AQ106" s="19"/>
      <c r="AR106" s="19"/>
      <c r="AS106" s="11"/>
      <c r="AT106" s="11"/>
      <c r="AU106" s="1"/>
      <c r="AV106" s="1"/>
      <c r="AW106" s="1"/>
      <c r="AX106" s="1"/>
      <c r="AY106" s="1"/>
      <c r="AZ106" s="1"/>
    </row>
    <row r="107" spans="1:52" s="12" customFormat="1" ht="14.4" customHeight="1" x14ac:dyDescent="0.3">
      <c r="A107" s="1"/>
      <c r="B107" s="1"/>
      <c r="C107" s="2"/>
      <c r="D107" s="3"/>
      <c r="E107" s="1"/>
      <c r="F107" s="1"/>
      <c r="G107" s="1"/>
      <c r="H107" s="14" t="s">
        <v>7</v>
      </c>
      <c r="I107" s="13"/>
      <c r="J107" s="13"/>
      <c r="K107" s="893"/>
      <c r="L107" s="1111">
        <v>12.5</v>
      </c>
      <c r="M107" s="894">
        <v>2.0160000000000001E-2</v>
      </c>
      <c r="N107" s="606" t="s">
        <v>90</v>
      </c>
      <c r="O107" s="893">
        <f>O$101*$M107</f>
        <v>23.462209492780364</v>
      </c>
      <c r="P107" s="1047">
        <v>25</v>
      </c>
      <c r="Q107" s="893">
        <f t="shared" ref="Q107:Q113" si="0">Q$101*$M107</f>
        <v>23.462209492780364</v>
      </c>
      <c r="R107" s="1047">
        <f>P107</f>
        <v>25</v>
      </c>
      <c r="S107" s="893">
        <f t="shared" ref="S107:S113" si="1">S$101*$M107</f>
        <v>23.462209492780364</v>
      </c>
      <c r="T107" s="1047">
        <f>R107</f>
        <v>25</v>
      </c>
      <c r="U107" s="893">
        <f t="shared" ref="U107:U113" si="2">U$101*$M107</f>
        <v>23.462209492780364</v>
      </c>
      <c r="V107" s="1047">
        <f>T107</f>
        <v>25</v>
      </c>
      <c r="W107" s="893">
        <f t="shared" ref="W107:W113" si="3">W$101*$M107</f>
        <v>129.04215221029239</v>
      </c>
      <c r="X107" s="1047">
        <f>V107</f>
        <v>25</v>
      </c>
      <c r="Y107" s="1"/>
      <c r="Z107" s="1"/>
      <c r="AA107" s="1"/>
      <c r="AB107" s="1"/>
      <c r="AC107" s="1"/>
      <c r="AD107" s="1"/>
      <c r="AE107" s="1"/>
      <c r="AF107" s="1"/>
      <c r="AG107" s="1"/>
      <c r="AH107" s="16">
        <f t="shared" ref="AH107:AH132" si="4">PMT($I$42,L107,K107,0,0)</f>
        <v>0</v>
      </c>
      <c r="AI107" s="6"/>
      <c r="AJ107" s="6"/>
      <c r="AK107" s="16">
        <f t="shared" ref="AK107:AK132" si="5">PMT($I$42,P107,O107,0,0)</f>
        <v>-2.1979111391451611</v>
      </c>
      <c r="AL107" s="16"/>
      <c r="AM107" s="17">
        <f t="shared" ref="AM107:AM132" si="6">PMT($I$42,R107,Q107,0,0)</f>
        <v>-2.1979111391451611</v>
      </c>
      <c r="AN107" s="17"/>
      <c r="AO107" s="18">
        <f t="shared" ref="AO107:AO132" si="7">PMT($I$42,T107,S107,0,0)</f>
        <v>-2.1979111391451611</v>
      </c>
      <c r="AP107" s="18"/>
      <c r="AQ107" s="19">
        <f t="shared" ref="AQ107:AQ132" si="8">PMT($I$42,V107,U107,0,0)</f>
        <v>-2.1979111391451611</v>
      </c>
      <c r="AR107" s="19"/>
      <c r="AS107" s="11">
        <f t="shared" ref="AS107:AS132" si="9">PMT($I$42,X107,W107,0,0)</f>
        <v>-12.088511265298422</v>
      </c>
      <c r="AT107" s="11"/>
      <c r="AU107" s="1"/>
      <c r="AV107" s="1"/>
      <c r="AW107" s="1"/>
      <c r="AX107" s="1"/>
      <c r="AY107" s="1"/>
      <c r="AZ107" s="1"/>
    </row>
    <row r="108" spans="1:52" s="12" customFormat="1" ht="14.4" customHeight="1" x14ac:dyDescent="0.3">
      <c r="A108" s="1"/>
      <c r="B108" s="1"/>
      <c r="C108" s="2"/>
      <c r="D108" s="20"/>
      <c r="E108" s="1"/>
      <c r="F108" s="1"/>
      <c r="G108" s="1"/>
      <c r="H108" s="21" t="s">
        <v>8</v>
      </c>
      <c r="I108" s="22"/>
      <c r="J108" s="22"/>
      <c r="K108" s="895"/>
      <c r="L108" s="1112">
        <v>12.5</v>
      </c>
      <c r="M108" s="896">
        <v>8.1270000000000007</v>
      </c>
      <c r="N108" s="607" t="s">
        <v>90</v>
      </c>
      <c r="O108" s="895">
        <f t="shared" ref="O108:O113" si="10">O$101*$M108</f>
        <v>9458.2032017770853</v>
      </c>
      <c r="P108" s="1048">
        <v>25</v>
      </c>
      <c r="Q108" s="895">
        <f t="shared" si="0"/>
        <v>9458.2032017770853</v>
      </c>
      <c r="R108" s="1048">
        <f t="shared" ref="R108:R132" si="11">P108</f>
        <v>25</v>
      </c>
      <c r="S108" s="895">
        <f t="shared" si="1"/>
        <v>9458.2032017770853</v>
      </c>
      <c r="T108" s="1048">
        <f t="shared" ref="T108:T132" si="12">R108</f>
        <v>25</v>
      </c>
      <c r="U108" s="895">
        <f>U$101*$M108</f>
        <v>9458.2032017770853</v>
      </c>
      <c r="V108" s="1048">
        <f t="shared" ref="V108:V132" si="13">T108</f>
        <v>25</v>
      </c>
      <c r="W108" s="895">
        <f t="shared" si="3"/>
        <v>52020.117609774112</v>
      </c>
      <c r="X108" s="1048">
        <f t="shared" ref="X108:X132" si="14">V108</f>
        <v>25</v>
      </c>
      <c r="Y108" s="1"/>
      <c r="Z108" s="1"/>
      <c r="AA108" s="1"/>
      <c r="AB108" s="1"/>
      <c r="AC108" s="1"/>
      <c r="AD108" s="1"/>
      <c r="AE108" s="1"/>
      <c r="AF108" s="1"/>
      <c r="AG108" s="1"/>
      <c r="AH108" s="16">
        <f t="shared" si="4"/>
        <v>0</v>
      </c>
      <c r="AI108" s="6"/>
      <c r="AJ108" s="6"/>
      <c r="AK108" s="16">
        <f t="shared" si="5"/>
        <v>-886.03292796789322</v>
      </c>
      <c r="AL108" s="16"/>
      <c r="AM108" s="17">
        <f t="shared" si="6"/>
        <v>-886.03292796789322</v>
      </c>
      <c r="AN108" s="17"/>
      <c r="AO108" s="18">
        <f t="shared" si="7"/>
        <v>-886.03292796789322</v>
      </c>
      <c r="AP108" s="18"/>
      <c r="AQ108" s="19">
        <f t="shared" si="8"/>
        <v>-886.03292796789322</v>
      </c>
      <c r="AR108" s="19"/>
      <c r="AS108" s="11">
        <f t="shared" si="9"/>
        <v>-4873.1811038234255</v>
      </c>
      <c r="AT108" s="11"/>
      <c r="AU108" s="1"/>
      <c r="AV108" s="1"/>
      <c r="AW108" s="1"/>
      <c r="AX108" s="1"/>
      <c r="AY108" s="1"/>
      <c r="AZ108" s="1"/>
    </row>
    <row r="109" spans="1:52" s="12" customFormat="1" ht="14.4" customHeight="1" thickBot="1" x14ac:dyDescent="0.35">
      <c r="A109" s="1"/>
      <c r="B109" s="1"/>
      <c r="C109" s="2"/>
      <c r="D109" s="3"/>
      <c r="E109" s="1"/>
      <c r="F109" s="1"/>
      <c r="G109" s="1"/>
      <c r="H109" s="24" t="s">
        <v>9</v>
      </c>
      <c r="I109" s="25"/>
      <c r="J109" s="25"/>
      <c r="K109" s="897"/>
      <c r="L109" s="1113">
        <v>12.5</v>
      </c>
      <c r="M109" s="898">
        <v>0</v>
      </c>
      <c r="N109" s="608" t="s">
        <v>90</v>
      </c>
      <c r="O109" s="897">
        <f t="shared" si="10"/>
        <v>0</v>
      </c>
      <c r="P109" s="1049">
        <v>25</v>
      </c>
      <c r="Q109" s="897">
        <f t="shared" si="0"/>
        <v>0</v>
      </c>
      <c r="R109" s="1049">
        <f t="shared" si="11"/>
        <v>25</v>
      </c>
      <c r="S109" s="897">
        <f t="shared" si="1"/>
        <v>0</v>
      </c>
      <c r="T109" s="1049">
        <f t="shared" si="12"/>
        <v>25</v>
      </c>
      <c r="U109" s="897">
        <f t="shared" si="2"/>
        <v>0</v>
      </c>
      <c r="V109" s="1049">
        <f t="shared" si="13"/>
        <v>25</v>
      </c>
      <c r="W109" s="897">
        <f t="shared" si="3"/>
        <v>0</v>
      </c>
      <c r="X109" s="1049">
        <f t="shared" si="14"/>
        <v>25</v>
      </c>
      <c r="Y109" s="1"/>
      <c r="Z109" s="1"/>
      <c r="AA109" s="1"/>
      <c r="AB109" s="1"/>
      <c r="AC109" s="1"/>
      <c r="AD109" s="1"/>
      <c r="AE109" s="1"/>
      <c r="AF109" s="1"/>
      <c r="AG109" s="1"/>
      <c r="AH109" s="16">
        <f t="shared" si="4"/>
        <v>0</v>
      </c>
      <c r="AI109" s="6"/>
      <c r="AJ109" s="6"/>
      <c r="AK109" s="16">
        <f t="shared" si="5"/>
        <v>0</v>
      </c>
      <c r="AL109" s="16"/>
      <c r="AM109" s="17">
        <f t="shared" si="6"/>
        <v>0</v>
      </c>
      <c r="AN109" s="17"/>
      <c r="AO109" s="18">
        <f t="shared" si="7"/>
        <v>0</v>
      </c>
      <c r="AP109" s="18"/>
      <c r="AQ109" s="19">
        <f t="shared" si="8"/>
        <v>0</v>
      </c>
      <c r="AR109" s="19"/>
      <c r="AS109" s="11">
        <f t="shared" si="9"/>
        <v>0</v>
      </c>
      <c r="AT109" s="11"/>
      <c r="AU109" s="1"/>
      <c r="AV109" s="1"/>
      <c r="AW109" s="1"/>
      <c r="AX109" s="1"/>
      <c r="AY109" s="1"/>
      <c r="AZ109" s="1"/>
    </row>
    <row r="110" spans="1:52" s="12" customFormat="1" ht="14.4" customHeight="1" x14ac:dyDescent="0.3">
      <c r="A110" s="1"/>
      <c r="B110" s="1"/>
      <c r="C110" s="2"/>
      <c r="D110" s="20"/>
      <c r="E110" s="1"/>
      <c r="F110" s="1"/>
      <c r="G110" s="1"/>
      <c r="H110" s="14"/>
      <c r="I110" s="13" t="s">
        <v>41</v>
      </c>
      <c r="J110" s="13"/>
      <c r="K110" s="893"/>
      <c r="L110" s="1111">
        <v>12.5</v>
      </c>
      <c r="M110" s="899">
        <v>0.98933000000000004</v>
      </c>
      <c r="N110" s="609" t="s">
        <v>90</v>
      </c>
      <c r="O110" s="893">
        <f t="shared" si="10"/>
        <v>1151.3823272565674</v>
      </c>
      <c r="P110" s="1047">
        <v>25</v>
      </c>
      <c r="Q110" s="893">
        <f t="shared" si="0"/>
        <v>1151.3823272565674</v>
      </c>
      <c r="R110" s="1047">
        <f t="shared" si="11"/>
        <v>25</v>
      </c>
      <c r="S110" s="893">
        <f t="shared" si="1"/>
        <v>1151.3823272565674</v>
      </c>
      <c r="T110" s="1047">
        <f t="shared" si="12"/>
        <v>25</v>
      </c>
      <c r="U110" s="893">
        <f t="shared" si="2"/>
        <v>1151.3823272565674</v>
      </c>
      <c r="V110" s="1047">
        <f t="shared" si="13"/>
        <v>25</v>
      </c>
      <c r="W110" s="893">
        <f t="shared" si="3"/>
        <v>6332.6027999111384</v>
      </c>
      <c r="X110" s="1047">
        <f t="shared" si="14"/>
        <v>25</v>
      </c>
      <c r="Y110" s="1"/>
      <c r="Z110" s="1"/>
      <c r="AA110" s="1"/>
      <c r="AB110" s="1"/>
      <c r="AC110" s="1"/>
      <c r="AD110" s="1"/>
      <c r="AE110" s="1"/>
      <c r="AF110" s="1"/>
      <c r="AG110" s="1"/>
      <c r="AH110" s="16">
        <f t="shared" si="4"/>
        <v>0</v>
      </c>
      <c r="AI110" s="6"/>
      <c r="AJ110" s="6"/>
      <c r="AK110" s="16">
        <f t="shared" si="5"/>
        <v>-107.86009063940885</v>
      </c>
      <c r="AL110" s="16"/>
      <c r="AM110" s="17">
        <f t="shared" si="6"/>
        <v>-107.86009063940885</v>
      </c>
      <c r="AN110" s="17"/>
      <c r="AO110" s="18">
        <f t="shared" si="7"/>
        <v>-107.86009063940885</v>
      </c>
      <c r="AP110" s="18"/>
      <c r="AQ110" s="19">
        <f t="shared" si="8"/>
        <v>-107.86009063940885</v>
      </c>
      <c r="AR110" s="19"/>
      <c r="AS110" s="11">
        <f t="shared" si="9"/>
        <v>-593.23049851675034</v>
      </c>
      <c r="AT110" s="11"/>
      <c r="AU110" s="1"/>
      <c r="AV110" s="1"/>
      <c r="AW110" s="1"/>
      <c r="AX110" s="1"/>
      <c r="AY110" s="1"/>
      <c r="AZ110" s="1"/>
    </row>
    <row r="111" spans="1:52" s="12" customFormat="1" ht="14.4" customHeight="1" x14ac:dyDescent="0.3">
      <c r="A111" s="1"/>
      <c r="B111" s="1"/>
      <c r="C111" s="2"/>
      <c r="D111" s="3"/>
      <c r="E111" s="1"/>
      <c r="F111" s="1"/>
      <c r="G111" s="1"/>
      <c r="H111" s="21"/>
      <c r="I111" s="22" t="s">
        <v>10</v>
      </c>
      <c r="J111" s="22"/>
      <c r="K111" s="895"/>
      <c r="L111" s="1112">
        <v>12.5</v>
      </c>
      <c r="M111" s="896">
        <v>2.0160000000000001E-2</v>
      </c>
      <c r="N111" s="607" t="s">
        <v>90</v>
      </c>
      <c r="O111" s="895">
        <f t="shared" si="10"/>
        <v>23.462209492780364</v>
      </c>
      <c r="P111" s="1048">
        <v>25</v>
      </c>
      <c r="Q111" s="895">
        <f t="shared" si="0"/>
        <v>23.462209492780364</v>
      </c>
      <c r="R111" s="1048">
        <f t="shared" si="11"/>
        <v>25</v>
      </c>
      <c r="S111" s="895">
        <f t="shared" si="1"/>
        <v>23.462209492780364</v>
      </c>
      <c r="T111" s="1048">
        <f t="shared" si="12"/>
        <v>25</v>
      </c>
      <c r="U111" s="895">
        <f t="shared" si="2"/>
        <v>23.462209492780364</v>
      </c>
      <c r="V111" s="1048">
        <f t="shared" si="13"/>
        <v>25</v>
      </c>
      <c r="W111" s="895">
        <f t="shared" si="3"/>
        <v>129.04215221029239</v>
      </c>
      <c r="X111" s="1048">
        <f t="shared" si="14"/>
        <v>25</v>
      </c>
      <c r="Y111" s="26"/>
      <c r="Z111" s="1"/>
      <c r="AA111" s="1"/>
      <c r="AB111" s="1"/>
      <c r="AC111" s="1"/>
      <c r="AD111" s="1"/>
      <c r="AE111" s="1"/>
      <c r="AF111" s="1"/>
      <c r="AG111" s="1"/>
      <c r="AH111" s="16">
        <f t="shared" si="4"/>
        <v>0</v>
      </c>
      <c r="AI111" s="6"/>
      <c r="AJ111" s="6"/>
      <c r="AK111" s="16">
        <f t="shared" si="5"/>
        <v>-2.1979111391451611</v>
      </c>
      <c r="AL111" s="16"/>
      <c r="AM111" s="17">
        <f t="shared" si="6"/>
        <v>-2.1979111391451611</v>
      </c>
      <c r="AN111" s="17"/>
      <c r="AO111" s="18">
        <f t="shared" si="7"/>
        <v>-2.1979111391451611</v>
      </c>
      <c r="AP111" s="18"/>
      <c r="AQ111" s="19">
        <f t="shared" si="8"/>
        <v>-2.1979111391451611</v>
      </c>
      <c r="AR111" s="19"/>
      <c r="AS111" s="11">
        <f t="shared" si="9"/>
        <v>-12.088511265298422</v>
      </c>
      <c r="AT111" s="11"/>
      <c r="AU111" s="1"/>
      <c r="AV111" s="1"/>
      <c r="AW111" s="1"/>
      <c r="AX111" s="1"/>
      <c r="AY111" s="1"/>
      <c r="AZ111" s="1"/>
    </row>
    <row r="112" spans="1:52" s="12" customFormat="1" ht="14.4" customHeight="1" thickBot="1" x14ac:dyDescent="0.35">
      <c r="A112" s="1"/>
      <c r="B112" s="1"/>
      <c r="C112" s="2"/>
      <c r="D112" s="20"/>
      <c r="E112" s="1"/>
      <c r="F112" s="1"/>
      <c r="G112" s="1"/>
      <c r="H112" s="24" t="s">
        <v>71</v>
      </c>
      <c r="I112" s="25"/>
      <c r="J112" s="25"/>
      <c r="K112" s="897"/>
      <c r="L112" s="1113">
        <v>12.5</v>
      </c>
      <c r="M112" s="898">
        <v>7.3404999999999996</v>
      </c>
      <c r="N112" s="608" t="s">
        <v>90</v>
      </c>
      <c r="O112" s="897">
        <f>O$101*$M112</f>
        <v>8542.8744435393965</v>
      </c>
      <c r="P112" s="1049">
        <v>25</v>
      </c>
      <c r="Q112" s="897">
        <f t="shared" si="0"/>
        <v>8542.8744435393965</v>
      </c>
      <c r="R112" s="1049">
        <f t="shared" si="11"/>
        <v>25</v>
      </c>
      <c r="S112" s="897">
        <f t="shared" si="1"/>
        <v>8542.8744435393965</v>
      </c>
      <c r="T112" s="1049">
        <f t="shared" si="12"/>
        <v>25</v>
      </c>
      <c r="U112" s="897">
        <f t="shared" si="2"/>
        <v>8542.8744435393965</v>
      </c>
      <c r="V112" s="1049">
        <f t="shared" si="13"/>
        <v>25</v>
      </c>
      <c r="W112" s="897">
        <f>W$101*$M112</f>
        <v>46985.809439466815</v>
      </c>
      <c r="X112" s="1049">
        <f t="shared" si="14"/>
        <v>25</v>
      </c>
      <c r="Y112" s="26"/>
      <c r="Z112" s="1"/>
      <c r="AA112" s="1"/>
      <c r="AB112" s="1"/>
      <c r="AC112" s="1"/>
      <c r="AD112" s="1"/>
      <c r="AE112" s="1"/>
      <c r="AF112" s="1"/>
      <c r="AG112" s="1"/>
      <c r="AH112" s="16">
        <f t="shared" si="4"/>
        <v>0</v>
      </c>
      <c r="AI112" s="6"/>
      <c r="AJ112" s="6"/>
      <c r="AK112" s="16">
        <f t="shared" si="5"/>
        <v>-800.28604746503231</v>
      </c>
      <c r="AL112" s="16"/>
      <c r="AM112" s="17">
        <f t="shared" si="6"/>
        <v>-800.28604746503231</v>
      </c>
      <c r="AN112" s="17"/>
      <c r="AO112" s="18">
        <f t="shared" si="7"/>
        <v>-800.28604746503231</v>
      </c>
      <c r="AP112" s="18"/>
      <c r="AQ112" s="19">
        <f t="shared" si="8"/>
        <v>-800.28604746503231</v>
      </c>
      <c r="AR112" s="19"/>
      <c r="AS112" s="11">
        <f t="shared" si="9"/>
        <v>-4401.5732610576906</v>
      </c>
      <c r="AT112" s="11"/>
      <c r="AU112" s="1"/>
      <c r="AV112" s="1"/>
      <c r="AW112" s="1"/>
      <c r="AX112" s="1"/>
      <c r="AY112" s="1"/>
      <c r="AZ112" s="1"/>
    </row>
    <row r="113" spans="1:52" s="12" customFormat="1" ht="14.4" customHeight="1" x14ac:dyDescent="0.3">
      <c r="A113" s="1"/>
      <c r="B113" s="1"/>
      <c r="C113" s="2"/>
      <c r="D113" s="3"/>
      <c r="E113" s="27"/>
      <c r="F113" s="1"/>
      <c r="G113" s="1"/>
      <c r="H113" s="14" t="s">
        <v>11</v>
      </c>
      <c r="I113" s="13"/>
      <c r="J113" s="13"/>
      <c r="K113" s="893">
        <v>10000</v>
      </c>
      <c r="L113" s="1111">
        <v>7.5</v>
      </c>
      <c r="M113" s="899">
        <v>0.15117</v>
      </c>
      <c r="N113" s="609" t="s">
        <v>90</v>
      </c>
      <c r="O113" s="893">
        <f t="shared" si="10"/>
        <v>175.93165719363134</v>
      </c>
      <c r="P113" s="1047">
        <v>15</v>
      </c>
      <c r="Q113" s="893">
        <f t="shared" si="0"/>
        <v>175.93165719363134</v>
      </c>
      <c r="R113" s="1047">
        <f t="shared" si="11"/>
        <v>15</v>
      </c>
      <c r="S113" s="893">
        <f t="shared" si="1"/>
        <v>175.93165719363134</v>
      </c>
      <c r="T113" s="1047">
        <f t="shared" si="12"/>
        <v>15</v>
      </c>
      <c r="U113" s="893">
        <f t="shared" si="2"/>
        <v>175.93165719363134</v>
      </c>
      <c r="V113" s="1047">
        <f t="shared" si="13"/>
        <v>15</v>
      </c>
      <c r="W113" s="893">
        <f t="shared" si="3"/>
        <v>967.624114564975</v>
      </c>
      <c r="X113" s="1047">
        <f t="shared" si="14"/>
        <v>15</v>
      </c>
      <c r="Y113" s="26"/>
      <c r="Z113" s="1"/>
      <c r="AA113" s="1"/>
      <c r="AB113" s="1"/>
      <c r="AC113" s="1"/>
      <c r="AD113" s="1"/>
      <c r="AE113" s="1"/>
      <c r="AF113" s="1"/>
      <c r="AG113" s="1"/>
      <c r="AH113" s="16">
        <f t="shared" si="4"/>
        <v>-1824.2511624289964</v>
      </c>
      <c r="AI113" s="6"/>
      <c r="AJ113" s="6"/>
      <c r="AK113" s="16">
        <f t="shared" si="5"/>
        <v>-20.554015449771828</v>
      </c>
      <c r="AL113" s="16"/>
      <c r="AM113" s="17">
        <f t="shared" si="6"/>
        <v>-20.554015449771828</v>
      </c>
      <c r="AN113" s="17"/>
      <c r="AO113" s="18">
        <f t="shared" si="7"/>
        <v>-20.554015449771828</v>
      </c>
      <c r="AP113" s="18"/>
      <c r="AQ113" s="19">
        <f t="shared" si="8"/>
        <v>-20.554015449771828</v>
      </c>
      <c r="AR113" s="19"/>
      <c r="AS113" s="11">
        <f t="shared" si="9"/>
        <v>-113.04708497374536</v>
      </c>
      <c r="AT113" s="11"/>
      <c r="AU113" s="1"/>
      <c r="AV113" s="1"/>
      <c r="AW113" s="1"/>
      <c r="AX113" s="1"/>
      <c r="AY113" s="1"/>
      <c r="AZ113" s="1"/>
    </row>
    <row r="114" spans="1:52" s="12" customFormat="1" ht="14.4" customHeight="1" x14ac:dyDescent="0.3">
      <c r="A114" s="1"/>
      <c r="B114" s="1"/>
      <c r="C114" s="2"/>
      <c r="D114" s="20"/>
      <c r="E114" s="1"/>
      <c r="F114" s="1"/>
      <c r="G114" s="1"/>
      <c r="H114" s="21" t="s">
        <v>12</v>
      </c>
      <c r="I114" s="22"/>
      <c r="J114" s="22"/>
      <c r="K114" s="895"/>
      <c r="L114" s="1112">
        <v>7.5</v>
      </c>
      <c r="M114" s="896">
        <v>1.47156</v>
      </c>
      <c r="N114" s="607" t="s">
        <v>90</v>
      </c>
      <c r="O114" s="895">
        <f>$M114*O99</f>
        <v>34783.114984020722</v>
      </c>
      <c r="P114" s="1048">
        <v>15</v>
      </c>
      <c r="Q114" s="895">
        <f>$M114*Q99</f>
        <v>34783.114984020722</v>
      </c>
      <c r="R114" s="1048">
        <f t="shared" si="11"/>
        <v>15</v>
      </c>
      <c r="S114" s="895">
        <f>$M114*S99</f>
        <v>34783.114984020722</v>
      </c>
      <c r="T114" s="1048">
        <f t="shared" si="12"/>
        <v>15</v>
      </c>
      <c r="U114" s="895">
        <f>$M114*U99</f>
        <v>34783.114984020722</v>
      </c>
      <c r="V114" s="1048">
        <f t="shared" si="13"/>
        <v>15</v>
      </c>
      <c r="W114" s="895">
        <f>$M114*W99</f>
        <v>42489.822350359114</v>
      </c>
      <c r="X114" s="1048">
        <f t="shared" si="14"/>
        <v>15</v>
      </c>
      <c r="Y114" s="26"/>
      <c r="Z114" s="1"/>
      <c r="AA114" s="1"/>
      <c r="AB114" s="1"/>
      <c r="AC114" s="1"/>
      <c r="AD114" s="1"/>
      <c r="AE114" s="1"/>
      <c r="AF114" s="1"/>
      <c r="AG114" s="1"/>
      <c r="AH114" s="16">
        <f t="shared" si="4"/>
        <v>0</v>
      </c>
      <c r="AI114" s="6"/>
      <c r="AJ114" s="6"/>
      <c r="AK114" s="16">
        <f t="shared" si="5"/>
        <v>-4063.6954950404011</v>
      </c>
      <c r="AL114" s="16"/>
      <c r="AM114" s="17">
        <f t="shared" si="6"/>
        <v>-4063.6954950404011</v>
      </c>
      <c r="AN114" s="17"/>
      <c r="AO114" s="18">
        <f t="shared" si="7"/>
        <v>-4063.6954950404011</v>
      </c>
      <c r="AP114" s="18"/>
      <c r="AQ114" s="19">
        <f t="shared" si="8"/>
        <v>-4063.6954950404011</v>
      </c>
      <c r="AR114" s="19"/>
      <c r="AS114" s="11">
        <f t="shared" si="9"/>
        <v>-4964.0666096047889</v>
      </c>
      <c r="AT114" s="11"/>
      <c r="AU114" s="1"/>
      <c r="AV114" s="1"/>
      <c r="AW114" s="1"/>
      <c r="AX114" s="1"/>
      <c r="AY114" s="1"/>
      <c r="AZ114" s="1"/>
    </row>
    <row r="115" spans="1:52" s="12" customFormat="1" ht="14.4" customHeight="1" thickBot="1" x14ac:dyDescent="0.35">
      <c r="A115" s="1"/>
      <c r="B115" s="1"/>
      <c r="C115" s="2"/>
      <c r="D115" s="3"/>
      <c r="E115" s="1"/>
      <c r="F115" s="1"/>
      <c r="G115" s="1"/>
      <c r="H115" s="24" t="s">
        <v>134</v>
      </c>
      <c r="I115" s="25"/>
      <c r="J115" s="25"/>
      <c r="K115" s="897">
        <v>100000</v>
      </c>
      <c r="L115" s="1113">
        <v>12.5</v>
      </c>
      <c r="M115" s="898">
        <v>42.717739999999999</v>
      </c>
      <c r="N115" s="608" t="s">
        <v>89</v>
      </c>
      <c r="O115" s="897">
        <f>IF($AE90=4,O98*$M115,IF(O98-$K98&gt;1,$M115*(O98-$K98),0))</f>
        <v>0</v>
      </c>
      <c r="P115" s="1049">
        <v>25</v>
      </c>
      <c r="Q115" s="897">
        <f>IF($AE90=4,Q98*$M115,IF(Q98-$K98&gt;1,$M115*(Q98-$K98),0))</f>
        <v>0</v>
      </c>
      <c r="R115" s="1049">
        <f t="shared" si="11"/>
        <v>25</v>
      </c>
      <c r="S115" s="897">
        <f>IF($AE90=4,S98*$M115,IF(S98-$K98&gt;1,$M115*(S98-$K98),0))</f>
        <v>0</v>
      </c>
      <c r="T115" s="1049">
        <f t="shared" si="12"/>
        <v>25</v>
      </c>
      <c r="U115" s="897">
        <f>IF($AE90=4,U98*$M115,IF(U98-$K98&gt;1,$M115*(U98-$K98),0))</f>
        <v>0</v>
      </c>
      <c r="V115" s="1049">
        <f t="shared" si="13"/>
        <v>25</v>
      </c>
      <c r="W115" s="897">
        <f>IF($AE90=4,W98*$M115,IF(W98-$K98&gt;1,$M115*(W98-$K98),0))</f>
        <v>0</v>
      </c>
      <c r="X115" s="1049">
        <f t="shared" si="14"/>
        <v>25</v>
      </c>
      <c r="Y115" s="26"/>
      <c r="Z115" s="1"/>
      <c r="AA115" s="1"/>
      <c r="AB115" s="1"/>
      <c r="AC115" s="1"/>
      <c r="AD115" s="1"/>
      <c r="AE115" s="1"/>
      <c r="AF115" s="1"/>
      <c r="AG115" s="1"/>
      <c r="AH115" s="16">
        <f t="shared" si="4"/>
        <v>-12947.558506186258</v>
      </c>
      <c r="AI115" s="6"/>
      <c r="AJ115" s="6"/>
      <c r="AK115" s="16">
        <f t="shared" si="5"/>
        <v>0</v>
      </c>
      <c r="AL115" s="16"/>
      <c r="AM115" s="17">
        <f t="shared" si="6"/>
        <v>0</v>
      </c>
      <c r="AN115" s="17"/>
      <c r="AO115" s="18">
        <f t="shared" si="7"/>
        <v>0</v>
      </c>
      <c r="AP115" s="18"/>
      <c r="AQ115" s="19">
        <f t="shared" si="8"/>
        <v>0</v>
      </c>
      <c r="AR115" s="19"/>
      <c r="AS115" s="11">
        <f t="shared" si="9"/>
        <v>0</v>
      </c>
      <c r="AT115" s="11"/>
      <c r="AU115" s="1"/>
      <c r="AV115" s="1"/>
      <c r="AW115" s="1"/>
      <c r="AX115" s="1"/>
      <c r="AY115" s="1"/>
      <c r="AZ115" s="1"/>
    </row>
    <row r="116" spans="1:52" s="12" customFormat="1" ht="14.4" customHeight="1" x14ac:dyDescent="0.3">
      <c r="A116" s="1"/>
      <c r="B116" s="1"/>
      <c r="C116" s="2"/>
      <c r="D116" s="3"/>
      <c r="E116" s="1"/>
      <c r="F116" s="1"/>
      <c r="G116" s="1"/>
      <c r="H116" s="1307" t="s">
        <v>13</v>
      </c>
      <c r="I116" s="1308"/>
      <c r="J116" s="1308"/>
      <c r="K116" s="893"/>
      <c r="L116" s="1111">
        <v>12.5</v>
      </c>
      <c r="M116" s="592"/>
      <c r="N116" s="609"/>
      <c r="O116" s="893">
        <f>IF(O101&gt;100,$K116,0)</f>
        <v>0</v>
      </c>
      <c r="P116" s="1047">
        <v>25</v>
      </c>
      <c r="Q116" s="893">
        <f>IF(Q101&gt;100,$K116,0)</f>
        <v>0</v>
      </c>
      <c r="R116" s="1047">
        <f t="shared" si="11"/>
        <v>25</v>
      </c>
      <c r="S116" s="893">
        <f>IF(S101&gt;100,$K116,0)</f>
        <v>0</v>
      </c>
      <c r="T116" s="1047">
        <f t="shared" si="12"/>
        <v>25</v>
      </c>
      <c r="U116" s="893">
        <f>IF(U101&gt;100,$K116,0)</f>
        <v>0</v>
      </c>
      <c r="V116" s="1047">
        <f t="shared" si="13"/>
        <v>25</v>
      </c>
      <c r="W116" s="893">
        <f>IF(W101&gt;100,$K116,0)</f>
        <v>0</v>
      </c>
      <c r="X116" s="1047">
        <f t="shared" si="14"/>
        <v>25</v>
      </c>
      <c r="Y116" s="1"/>
      <c r="Z116" s="1"/>
      <c r="AA116" s="1"/>
      <c r="AB116" s="1"/>
      <c r="AC116" s="1"/>
      <c r="AD116" s="1"/>
      <c r="AE116" s="1"/>
      <c r="AF116" s="1"/>
      <c r="AG116" s="1"/>
      <c r="AH116" s="16">
        <f t="shared" si="4"/>
        <v>0</v>
      </c>
      <c r="AI116" s="6"/>
      <c r="AJ116" s="6"/>
      <c r="AK116" s="16">
        <f t="shared" si="5"/>
        <v>0</v>
      </c>
      <c r="AL116" s="16"/>
      <c r="AM116" s="17">
        <f t="shared" si="6"/>
        <v>0</v>
      </c>
      <c r="AN116" s="17"/>
      <c r="AO116" s="18">
        <f t="shared" si="7"/>
        <v>0</v>
      </c>
      <c r="AP116" s="18"/>
      <c r="AQ116" s="19">
        <f t="shared" si="8"/>
        <v>0</v>
      </c>
      <c r="AR116" s="19"/>
      <c r="AS116" s="11">
        <f t="shared" si="9"/>
        <v>0</v>
      </c>
      <c r="AT116" s="11"/>
      <c r="AU116" s="1"/>
      <c r="AV116" s="1"/>
      <c r="AW116" s="1"/>
      <c r="AX116" s="1"/>
      <c r="AY116" s="1"/>
      <c r="AZ116" s="1"/>
    </row>
    <row r="117" spans="1:52" s="12" customFormat="1" ht="14.4" customHeight="1" x14ac:dyDescent="0.3">
      <c r="A117" s="1"/>
      <c r="B117" s="1"/>
      <c r="C117" s="2"/>
      <c r="D117" s="20"/>
      <c r="E117" s="1"/>
      <c r="F117" s="1"/>
      <c r="G117" s="1"/>
      <c r="H117" s="21" t="s">
        <v>190</v>
      </c>
      <c r="I117" s="22"/>
      <c r="J117" s="22"/>
      <c r="K117" s="895"/>
      <c r="L117" s="1112">
        <v>12.5</v>
      </c>
      <c r="M117" s="896">
        <v>0</v>
      </c>
      <c r="N117" s="607" t="s">
        <v>90</v>
      </c>
      <c r="O117" s="895">
        <f>$M117*O101</f>
        <v>0</v>
      </c>
      <c r="P117" s="1048">
        <v>25</v>
      </c>
      <c r="Q117" s="895">
        <f>$M117*Q101</f>
        <v>0</v>
      </c>
      <c r="R117" s="1048">
        <f t="shared" si="11"/>
        <v>25</v>
      </c>
      <c r="S117" s="895">
        <f>$M117*S101</f>
        <v>0</v>
      </c>
      <c r="T117" s="1048">
        <f t="shared" si="12"/>
        <v>25</v>
      </c>
      <c r="U117" s="895">
        <f>$M117*U101</f>
        <v>0</v>
      </c>
      <c r="V117" s="1048">
        <f t="shared" si="13"/>
        <v>25</v>
      </c>
      <c r="W117" s="895">
        <f>$M117*W101</f>
        <v>0</v>
      </c>
      <c r="X117" s="1048">
        <f t="shared" si="14"/>
        <v>25</v>
      </c>
      <c r="Y117" s="1"/>
      <c r="Z117" s="1"/>
      <c r="AA117" s="1"/>
      <c r="AB117" s="1"/>
      <c r="AC117" s="1"/>
      <c r="AD117" s="1"/>
      <c r="AE117" s="1"/>
      <c r="AF117" s="1"/>
      <c r="AG117" s="1"/>
      <c r="AH117" s="16">
        <f t="shared" si="4"/>
        <v>0</v>
      </c>
      <c r="AI117" s="6"/>
      <c r="AJ117" s="6"/>
      <c r="AK117" s="16">
        <f t="shared" si="5"/>
        <v>0</v>
      </c>
      <c r="AL117" s="16"/>
      <c r="AM117" s="17">
        <f t="shared" si="6"/>
        <v>0</v>
      </c>
      <c r="AN117" s="17"/>
      <c r="AO117" s="18">
        <f t="shared" si="7"/>
        <v>0</v>
      </c>
      <c r="AP117" s="18"/>
      <c r="AQ117" s="19">
        <f t="shared" si="8"/>
        <v>0</v>
      </c>
      <c r="AR117" s="19"/>
      <c r="AS117" s="11">
        <f t="shared" si="9"/>
        <v>0</v>
      </c>
      <c r="AT117" s="11"/>
      <c r="AU117" s="1"/>
      <c r="AV117" s="1"/>
      <c r="AW117" s="1"/>
      <c r="AX117" s="1"/>
      <c r="AY117" s="1"/>
      <c r="AZ117" s="1"/>
    </row>
    <row r="118" spans="1:52" s="12" customFormat="1" ht="14.4" customHeight="1" thickBot="1" x14ac:dyDescent="0.35">
      <c r="A118" s="1"/>
      <c r="B118" s="1"/>
      <c r="C118" s="2"/>
      <c r="D118" s="20"/>
      <c r="E118" s="1"/>
      <c r="F118" s="1"/>
      <c r="G118" s="1"/>
      <c r="H118" s="24" t="s">
        <v>24</v>
      </c>
      <c r="I118" s="25"/>
      <c r="J118" s="25"/>
      <c r="K118" s="897"/>
      <c r="L118" s="1113">
        <v>12.5</v>
      </c>
      <c r="M118" s="898">
        <v>4.71889</v>
      </c>
      <c r="N118" s="608" t="s">
        <v>90</v>
      </c>
      <c r="O118" s="897">
        <f>(O100+O101)*$M118-K118</f>
        <v>111539.92597443907</v>
      </c>
      <c r="P118" s="1049">
        <v>25</v>
      </c>
      <c r="Q118" s="897">
        <f>(Q100+Q101)*$M118</f>
        <v>111539.92597443907</v>
      </c>
      <c r="R118" s="1049">
        <f t="shared" si="11"/>
        <v>25</v>
      </c>
      <c r="S118" s="897">
        <f>(S100+S101)*$M118</f>
        <v>111539.92597443907</v>
      </c>
      <c r="T118" s="1049">
        <f t="shared" si="12"/>
        <v>25</v>
      </c>
      <c r="U118" s="897">
        <f>(U100+U101)*$M118</f>
        <v>111539.92597443907</v>
      </c>
      <c r="V118" s="1049">
        <f t="shared" si="13"/>
        <v>25</v>
      </c>
      <c r="W118" s="897">
        <f>(W100+W101)*$M118</f>
        <v>136253.22636582004</v>
      </c>
      <c r="X118" s="1049">
        <f t="shared" si="14"/>
        <v>25</v>
      </c>
      <c r="Y118" s="1"/>
      <c r="Z118" s="1"/>
      <c r="AA118" s="1"/>
      <c r="AB118" s="1"/>
      <c r="AC118" s="1"/>
      <c r="AD118" s="1"/>
      <c r="AE118" s="1"/>
      <c r="AF118" s="1"/>
      <c r="AG118" s="1"/>
      <c r="AH118" s="16">
        <f t="shared" si="4"/>
        <v>0</v>
      </c>
      <c r="AI118" s="6"/>
      <c r="AJ118" s="6"/>
      <c r="AK118" s="16">
        <f t="shared" si="5"/>
        <v>-10448.924080832359</v>
      </c>
      <c r="AL118" s="16"/>
      <c r="AM118" s="17">
        <f t="shared" si="6"/>
        <v>-10448.924080832359</v>
      </c>
      <c r="AN118" s="17"/>
      <c r="AO118" s="18">
        <f t="shared" si="7"/>
        <v>-10448.924080832359</v>
      </c>
      <c r="AP118" s="18"/>
      <c r="AQ118" s="19">
        <f t="shared" si="8"/>
        <v>-10448.924080832359</v>
      </c>
      <c r="AR118" s="19"/>
      <c r="AS118" s="11">
        <f t="shared" si="9"/>
        <v>-12764.035887841455</v>
      </c>
      <c r="AT118" s="11"/>
      <c r="AU118" s="1"/>
      <c r="AV118" s="1"/>
      <c r="AW118" s="1"/>
      <c r="AX118" s="1"/>
      <c r="AY118" s="1"/>
      <c r="AZ118" s="1"/>
    </row>
    <row r="119" spans="1:52" s="12" customFormat="1" ht="14.4" customHeight="1" x14ac:dyDescent="0.3">
      <c r="A119" s="1"/>
      <c r="B119" s="1"/>
      <c r="C119" s="2"/>
      <c r="D119" s="3"/>
      <c r="E119" s="1"/>
      <c r="F119" s="1"/>
      <c r="G119" s="1"/>
      <c r="H119" s="28" t="s">
        <v>272</v>
      </c>
      <c r="I119" s="29"/>
      <c r="J119" s="29"/>
      <c r="K119" s="893"/>
      <c r="L119" s="1111">
        <v>7.5</v>
      </c>
      <c r="M119" s="900">
        <v>24.013369999999998</v>
      </c>
      <c r="N119" s="609" t="s">
        <v>89</v>
      </c>
      <c r="O119" s="893">
        <f>$M119*O95</f>
        <v>17466.726115068486</v>
      </c>
      <c r="P119" s="1047">
        <v>15</v>
      </c>
      <c r="Q119" s="893">
        <f>33.36*Q95</f>
        <v>24265.231543872633</v>
      </c>
      <c r="R119" s="1047">
        <f t="shared" si="11"/>
        <v>15</v>
      </c>
      <c r="S119" s="893">
        <f>49*S95</f>
        <v>35641.377267678625</v>
      </c>
      <c r="T119" s="1047">
        <f t="shared" si="12"/>
        <v>15</v>
      </c>
      <c r="U119" s="893">
        <f>$M119*U95</f>
        <v>17466.726115068486</v>
      </c>
      <c r="V119" s="1047">
        <f t="shared" si="13"/>
        <v>15</v>
      </c>
      <c r="W119" s="893">
        <f>38*W95</f>
        <v>27640.251758607916</v>
      </c>
      <c r="X119" s="1047">
        <f t="shared" si="14"/>
        <v>15</v>
      </c>
      <c r="Y119" s="1"/>
      <c r="Z119" s="1"/>
      <c r="AA119" s="1"/>
      <c r="AB119" s="1"/>
      <c r="AC119" s="1"/>
      <c r="AD119" s="1"/>
      <c r="AE119" s="1"/>
      <c r="AF119" s="1"/>
      <c r="AG119" s="1"/>
      <c r="AH119" s="16">
        <f>PMT($I$42,L119,K119,0,0)</f>
        <v>0</v>
      </c>
      <c r="AI119" s="6"/>
      <c r="AJ119" s="6"/>
      <c r="AK119" s="16">
        <f>PMT($I$42,P119,O119,0,0)</f>
        <v>-2040.6296635455485</v>
      </c>
      <c r="AL119" s="16"/>
      <c r="AM119" s="17">
        <f>PMT($I$42,R119,Q119,0,0)</f>
        <v>-2834.895959037799</v>
      </c>
      <c r="AN119" s="17"/>
      <c r="AO119" s="18">
        <f>PMT($I$42,T119,S119,0,0)</f>
        <v>-4163.9658870759031</v>
      </c>
      <c r="AP119" s="18"/>
      <c r="AQ119" s="19">
        <f>PMT($I$42,V119,U119,0,0)</f>
        <v>-2040.6296635455485</v>
      </c>
      <c r="AR119" s="19"/>
      <c r="AS119" s="11">
        <f>PMT($I$42,X119,W119,0,0)</f>
        <v>-3229.1980348751904</v>
      </c>
      <c r="AT119" s="11"/>
      <c r="AU119" s="1"/>
      <c r="AV119" s="1"/>
      <c r="AW119" s="1"/>
      <c r="AX119" s="1"/>
      <c r="AY119" s="1"/>
      <c r="AZ119" s="1"/>
    </row>
    <row r="120" spans="1:52" s="12" customFormat="1" ht="14.4" customHeight="1" x14ac:dyDescent="0.3">
      <c r="A120" s="1282" t="s">
        <v>240</v>
      </c>
      <c r="B120" s="1283"/>
      <c r="C120" s="1"/>
      <c r="D120" s="1"/>
      <c r="E120" s="27"/>
      <c r="F120" s="1"/>
      <c r="G120" s="1"/>
      <c r="H120" s="31" t="s">
        <v>273</v>
      </c>
      <c r="I120" s="32"/>
      <c r="J120" s="32"/>
      <c r="K120" s="895"/>
      <c r="L120" s="1112">
        <v>7.5</v>
      </c>
      <c r="M120" s="901">
        <v>29.52281</v>
      </c>
      <c r="N120" s="607" t="s">
        <v>89</v>
      </c>
      <c r="O120" s="895">
        <f>$M120*O96</f>
        <v>8747.3211354313225</v>
      </c>
      <c r="P120" s="1048">
        <v>15</v>
      </c>
      <c r="Q120" s="895">
        <f>$M120*Q96</f>
        <v>8747.3211354313225</v>
      </c>
      <c r="R120" s="1048">
        <f t="shared" si="11"/>
        <v>15</v>
      </c>
      <c r="S120" s="895">
        <f>$M120*S96</f>
        <v>8747.3211354313225</v>
      </c>
      <c r="T120" s="1048">
        <f t="shared" si="12"/>
        <v>15</v>
      </c>
      <c r="U120" s="895">
        <f>$M120*U96</f>
        <v>8747.3211354313225</v>
      </c>
      <c r="V120" s="1048">
        <f t="shared" si="13"/>
        <v>15</v>
      </c>
      <c r="W120" s="895">
        <f>$M120*W96</f>
        <v>8747.3211354313225</v>
      </c>
      <c r="X120" s="1048">
        <f t="shared" si="14"/>
        <v>15</v>
      </c>
      <c r="Y120" s="1"/>
      <c r="Z120" s="1"/>
      <c r="AA120" s="1"/>
      <c r="AB120" s="1"/>
      <c r="AC120" s="1"/>
      <c r="AD120" s="1"/>
      <c r="AE120" s="1"/>
      <c r="AF120" s="1"/>
      <c r="AG120" s="1"/>
      <c r="AH120" s="16">
        <f>PMT($I$42,L120,K120,0,0)</f>
        <v>0</v>
      </c>
      <c r="AI120" s="6"/>
      <c r="AJ120" s="6"/>
      <c r="AK120" s="16">
        <f>PMT($I$42,P120,O120,0,0)</f>
        <v>-1021.9455476616716</v>
      </c>
      <c r="AL120" s="16"/>
      <c r="AM120" s="17">
        <f>PMT($I$42,R120,Q120,0,0)</f>
        <v>-1021.9455476616716</v>
      </c>
      <c r="AN120" s="17"/>
      <c r="AO120" s="18">
        <f>PMT($I$42,T120,S120,0,0)</f>
        <v>-1021.9455476616716</v>
      </c>
      <c r="AP120" s="18"/>
      <c r="AQ120" s="19">
        <f>PMT($I$42,V120,U120,0,0)</f>
        <v>-1021.9455476616716</v>
      </c>
      <c r="AR120" s="19"/>
      <c r="AS120" s="11">
        <f>PMT($I$42,X120,W120,0,0)</f>
        <v>-1021.9455476616716</v>
      </c>
      <c r="AT120" s="11"/>
      <c r="AU120" s="1"/>
      <c r="AV120" s="1"/>
      <c r="AW120" s="1"/>
      <c r="AX120" s="1"/>
      <c r="AY120" s="1"/>
      <c r="AZ120" s="1"/>
    </row>
    <row r="121" spans="1:52" s="12" customFormat="1" ht="14.4" customHeight="1" thickBot="1" x14ac:dyDescent="0.35">
      <c r="A121" s="1284" t="s">
        <v>250</v>
      </c>
      <c r="B121" s="1285"/>
      <c r="C121" s="1285"/>
      <c r="D121" s="1286"/>
      <c r="E121" s="1"/>
      <c r="F121" s="1"/>
      <c r="G121" s="1"/>
      <c r="H121" s="31" t="s">
        <v>271</v>
      </c>
      <c r="I121" s="32"/>
      <c r="J121" s="32"/>
      <c r="K121" s="902"/>
      <c r="L121" s="1114">
        <v>7.5</v>
      </c>
      <c r="M121" s="903">
        <v>26.0349</v>
      </c>
      <c r="N121" s="610" t="s">
        <v>89</v>
      </c>
      <c r="O121" s="902">
        <f>$M121*O97</f>
        <v>947.31950092558338</v>
      </c>
      <c r="P121" s="1050">
        <v>15</v>
      </c>
      <c r="Q121" s="902">
        <f>$M121*Q97</f>
        <v>947.31950092558338</v>
      </c>
      <c r="R121" s="1050">
        <f t="shared" si="11"/>
        <v>15</v>
      </c>
      <c r="S121" s="902">
        <f>$M121*S97</f>
        <v>947.31950092558338</v>
      </c>
      <c r="T121" s="1050">
        <f t="shared" si="12"/>
        <v>15</v>
      </c>
      <c r="U121" s="902">
        <f>$M121*U97</f>
        <v>947.31950092558338</v>
      </c>
      <c r="V121" s="1050">
        <f t="shared" si="13"/>
        <v>15</v>
      </c>
      <c r="W121" s="902">
        <f>$M121*W97</f>
        <v>947.31950092558338</v>
      </c>
      <c r="X121" s="1050">
        <f t="shared" si="14"/>
        <v>15</v>
      </c>
      <c r="Y121" s="1"/>
      <c r="Z121" s="1"/>
      <c r="AA121" s="1"/>
      <c r="AB121" s="1"/>
      <c r="AC121" s="1"/>
      <c r="AD121" s="1"/>
      <c r="AE121" s="1"/>
      <c r="AF121" s="1"/>
      <c r="AG121" s="1"/>
      <c r="AH121" s="16">
        <f>PMT($I$42,L121,K121,0,0)</f>
        <v>0</v>
      </c>
      <c r="AI121" s="6"/>
      <c r="AJ121" s="6"/>
      <c r="AK121" s="16">
        <f>PMT($I$42,P121,O121,0,0)</f>
        <v>-110.67490620215352</v>
      </c>
      <c r="AL121" s="16"/>
      <c r="AM121" s="17">
        <f>PMT($I$42,R121,Q121,0,0)</f>
        <v>-110.67490620215352</v>
      </c>
      <c r="AN121" s="17"/>
      <c r="AO121" s="18">
        <f>PMT($I$42,T121,S121,0,0)</f>
        <v>-110.67490620215352</v>
      </c>
      <c r="AP121" s="18"/>
      <c r="AQ121" s="19">
        <f>PMT($I$42,V121,U121,0,0)</f>
        <v>-110.67490620215352</v>
      </c>
      <c r="AR121" s="19"/>
      <c r="AS121" s="11">
        <f>PMT($I$42,X121,W121,0,0)</f>
        <v>-110.67490620215352</v>
      </c>
      <c r="AT121" s="11"/>
      <c r="AU121" s="1"/>
      <c r="AV121" s="1"/>
      <c r="AW121" s="1"/>
      <c r="AX121" s="1"/>
      <c r="AY121" s="1"/>
      <c r="AZ121" s="1"/>
    </row>
    <row r="122" spans="1:52" s="12" customFormat="1" ht="14.4" customHeight="1" x14ac:dyDescent="0.3">
      <c r="A122" s="1"/>
      <c r="B122" s="1"/>
      <c r="C122" s="2"/>
      <c r="D122" s="3"/>
      <c r="E122" s="1"/>
      <c r="F122" s="1"/>
      <c r="G122" s="1"/>
      <c r="H122" s="1307" t="s">
        <v>129</v>
      </c>
      <c r="I122" s="1308"/>
      <c r="J122" s="1308"/>
      <c r="K122" s="893"/>
      <c r="L122" s="1111">
        <v>7.5</v>
      </c>
      <c r="M122" s="596"/>
      <c r="N122" s="609"/>
      <c r="O122" s="893">
        <v>0</v>
      </c>
      <c r="P122" s="1047">
        <v>15</v>
      </c>
      <c r="Q122" s="893">
        <v>0</v>
      </c>
      <c r="R122" s="1047">
        <f t="shared" si="11"/>
        <v>15</v>
      </c>
      <c r="S122" s="893">
        <v>0</v>
      </c>
      <c r="T122" s="1047">
        <f t="shared" si="12"/>
        <v>15</v>
      </c>
      <c r="U122" s="893">
        <f>220*U95</f>
        <v>160022.51018141425</v>
      </c>
      <c r="V122" s="1047">
        <f t="shared" si="13"/>
        <v>15</v>
      </c>
      <c r="W122" s="893">
        <v>0</v>
      </c>
      <c r="X122" s="1047">
        <f t="shared" si="14"/>
        <v>15</v>
      </c>
      <c r="Y122" s="1"/>
      <c r="Z122" s="1"/>
      <c r="AA122" s="1"/>
      <c r="AB122" s="1"/>
      <c r="AC122" s="1"/>
      <c r="AD122" s="1"/>
      <c r="AE122" s="1"/>
      <c r="AF122" s="1"/>
      <c r="AG122" s="1"/>
      <c r="AH122" s="16">
        <f t="shared" si="4"/>
        <v>0</v>
      </c>
      <c r="AI122" s="6"/>
      <c r="AJ122" s="6"/>
      <c r="AK122" s="16">
        <f t="shared" si="5"/>
        <v>0</v>
      </c>
      <c r="AL122" s="16"/>
      <c r="AM122" s="17">
        <f t="shared" si="6"/>
        <v>0</v>
      </c>
      <c r="AN122" s="17"/>
      <c r="AO122" s="18">
        <f t="shared" si="7"/>
        <v>0</v>
      </c>
      <c r="AP122" s="18"/>
      <c r="AQ122" s="19">
        <f t="shared" si="8"/>
        <v>-18695.357044014261</v>
      </c>
      <c r="AR122" s="19"/>
      <c r="AS122" s="11">
        <f t="shared" si="9"/>
        <v>0</v>
      </c>
      <c r="AT122" s="11"/>
      <c r="AU122" s="1"/>
      <c r="AV122" s="1"/>
      <c r="AW122" s="1"/>
      <c r="AX122" s="1"/>
      <c r="AY122" s="1"/>
      <c r="AZ122" s="1"/>
    </row>
    <row r="123" spans="1:52" s="12" customFormat="1" ht="14.4" customHeight="1" x14ac:dyDescent="0.3">
      <c r="A123" s="1"/>
      <c r="B123" s="1"/>
      <c r="C123" s="2"/>
      <c r="D123" s="3"/>
      <c r="E123" s="1"/>
      <c r="F123" s="1"/>
      <c r="G123" s="1"/>
      <c r="H123" s="1300" t="s">
        <v>191</v>
      </c>
      <c r="I123" s="1301"/>
      <c r="J123" s="1301"/>
      <c r="K123" s="895"/>
      <c r="L123" s="1112">
        <v>7.5</v>
      </c>
      <c r="M123" s="901">
        <v>16.875299999999999</v>
      </c>
      <c r="N123" s="610" t="s">
        <v>89</v>
      </c>
      <c r="O123" s="895">
        <f>$M123*O96</f>
        <v>4999.98707293595</v>
      </c>
      <c r="P123" s="1048">
        <v>15</v>
      </c>
      <c r="Q123" s="895">
        <f>$M123*Q96</f>
        <v>4999.98707293595</v>
      </c>
      <c r="R123" s="1048">
        <f t="shared" si="11"/>
        <v>15</v>
      </c>
      <c r="S123" s="895">
        <f>$M123*S96</f>
        <v>4999.98707293595</v>
      </c>
      <c r="T123" s="1048">
        <f t="shared" si="12"/>
        <v>15</v>
      </c>
      <c r="U123" s="895">
        <f>$M123*U96</f>
        <v>4999.98707293595</v>
      </c>
      <c r="V123" s="1048">
        <f t="shared" si="13"/>
        <v>15</v>
      </c>
      <c r="W123" s="895">
        <f>$M123*W96</f>
        <v>4999.98707293595</v>
      </c>
      <c r="X123" s="1048">
        <f t="shared" si="14"/>
        <v>15</v>
      </c>
      <c r="Y123" s="1"/>
      <c r="Z123" s="1"/>
      <c r="AA123" s="1"/>
      <c r="AB123" s="1"/>
      <c r="AC123" s="1"/>
      <c r="AD123" s="1"/>
      <c r="AE123" s="1"/>
      <c r="AF123" s="1"/>
      <c r="AG123" s="1"/>
      <c r="AH123" s="16">
        <f t="shared" si="4"/>
        <v>0</v>
      </c>
      <c r="AI123" s="6"/>
      <c r="AJ123" s="6"/>
      <c r="AK123" s="16">
        <f t="shared" si="5"/>
        <v>-584.14621441708994</v>
      </c>
      <c r="AL123" s="16"/>
      <c r="AM123" s="17">
        <f t="shared" si="6"/>
        <v>-584.14621441708994</v>
      </c>
      <c r="AN123" s="17"/>
      <c r="AO123" s="18">
        <f t="shared" si="7"/>
        <v>-584.14621441708994</v>
      </c>
      <c r="AP123" s="18"/>
      <c r="AQ123" s="19">
        <f t="shared" si="8"/>
        <v>-584.14621441708994</v>
      </c>
      <c r="AR123" s="19"/>
      <c r="AS123" s="11">
        <f t="shared" si="9"/>
        <v>-584.14621441708994</v>
      </c>
      <c r="AT123" s="11"/>
      <c r="AU123" s="1"/>
      <c r="AV123" s="1"/>
      <c r="AW123" s="1"/>
      <c r="AX123" s="1"/>
      <c r="AY123" s="1"/>
      <c r="AZ123" s="1"/>
    </row>
    <row r="124" spans="1:52" s="12" customFormat="1" ht="14.4" customHeight="1" thickBot="1" x14ac:dyDescent="0.35">
      <c r="A124" s="1"/>
      <c r="B124" s="1"/>
      <c r="C124" s="2"/>
      <c r="D124" s="3"/>
      <c r="E124" s="1"/>
      <c r="F124" s="1"/>
      <c r="G124" s="1"/>
      <c r="H124" s="1302" t="s">
        <v>132</v>
      </c>
      <c r="I124" s="1303"/>
      <c r="J124" s="1303"/>
      <c r="K124" s="897"/>
      <c r="L124" s="1113">
        <v>5</v>
      </c>
      <c r="M124" s="904">
        <v>185.86318</v>
      </c>
      <c r="N124" s="608" t="s">
        <v>89</v>
      </c>
      <c r="O124" s="897">
        <f>$M124*O96</f>
        <v>55069.450459237327</v>
      </c>
      <c r="P124" s="1049">
        <v>10</v>
      </c>
      <c r="Q124" s="897">
        <f>$M124*Q96</f>
        <v>55069.450459237327</v>
      </c>
      <c r="R124" s="1049">
        <f t="shared" si="11"/>
        <v>10</v>
      </c>
      <c r="S124" s="897">
        <f>$M124*S96</f>
        <v>55069.450459237327</v>
      </c>
      <c r="T124" s="1049">
        <f t="shared" si="12"/>
        <v>10</v>
      </c>
      <c r="U124" s="897">
        <f>$M124*U96</f>
        <v>55069.450459237327</v>
      </c>
      <c r="V124" s="1049">
        <f t="shared" si="13"/>
        <v>10</v>
      </c>
      <c r="W124" s="897">
        <f>$M124*W96</f>
        <v>55069.450459237327</v>
      </c>
      <c r="X124" s="1049">
        <f t="shared" si="14"/>
        <v>10</v>
      </c>
      <c r="Y124" s="1"/>
      <c r="Z124" s="1"/>
      <c r="AA124" s="1"/>
      <c r="AB124" s="1"/>
      <c r="AC124" s="1"/>
      <c r="AD124" s="1"/>
      <c r="AE124" s="1"/>
      <c r="AF124" s="1"/>
      <c r="AG124" s="1"/>
      <c r="AH124" s="16">
        <f t="shared" si="4"/>
        <v>0</v>
      </c>
      <c r="AI124" s="6"/>
      <c r="AJ124" s="6"/>
      <c r="AK124" s="16">
        <f t="shared" si="5"/>
        <v>-8206.9720447690634</v>
      </c>
      <c r="AL124" s="16"/>
      <c r="AM124" s="17">
        <f t="shared" si="6"/>
        <v>-8206.9720447690634</v>
      </c>
      <c r="AN124" s="17"/>
      <c r="AO124" s="18">
        <f t="shared" si="7"/>
        <v>-8206.9720447690634</v>
      </c>
      <c r="AP124" s="18"/>
      <c r="AQ124" s="19">
        <f t="shared" si="8"/>
        <v>-8206.9720447690634</v>
      </c>
      <c r="AR124" s="19"/>
      <c r="AS124" s="11">
        <f t="shared" si="9"/>
        <v>-8206.9720447690634</v>
      </c>
      <c r="AT124" s="11"/>
      <c r="AU124" s="1"/>
      <c r="AV124" s="1"/>
      <c r="AW124" s="1"/>
      <c r="AX124" s="1"/>
      <c r="AY124" s="1"/>
      <c r="AZ124" s="1"/>
    </row>
    <row r="125" spans="1:52" s="12" customFormat="1" ht="14.4" customHeight="1" x14ac:dyDescent="0.3">
      <c r="A125" s="1"/>
      <c r="B125" s="1"/>
      <c r="C125" s="2"/>
      <c r="D125" s="20"/>
      <c r="E125" s="1"/>
      <c r="F125" s="1"/>
      <c r="G125" s="1"/>
      <c r="H125" s="28" t="s">
        <v>25</v>
      </c>
      <c r="I125" s="29"/>
      <c r="J125" s="29"/>
      <c r="K125" s="893"/>
      <c r="L125" s="1111">
        <v>5</v>
      </c>
      <c r="M125" s="899">
        <v>2.2763399999999998</v>
      </c>
      <c r="N125" s="609" t="s">
        <v>90</v>
      </c>
      <c r="O125" s="893">
        <f>$M125*(O100+O101)</f>
        <v>53805.618501947407</v>
      </c>
      <c r="P125" s="1047">
        <v>10</v>
      </c>
      <c r="Q125" s="893">
        <f>$M125*(Q100+Q101)</f>
        <v>53805.618501947407</v>
      </c>
      <c r="R125" s="1047">
        <f t="shared" si="11"/>
        <v>10</v>
      </c>
      <c r="S125" s="893">
        <f>$M125*(S100+S101)</f>
        <v>53805.618501947407</v>
      </c>
      <c r="T125" s="1047">
        <f t="shared" si="12"/>
        <v>10</v>
      </c>
      <c r="U125" s="893">
        <f>$M125*(U100+U101)</f>
        <v>53805.618501947407</v>
      </c>
      <c r="V125" s="1047">
        <f t="shared" si="13"/>
        <v>10</v>
      </c>
      <c r="W125" s="893">
        <f>$M125*(W100+W101)</f>
        <v>65727.039474446472</v>
      </c>
      <c r="X125" s="1047">
        <f t="shared" si="14"/>
        <v>10</v>
      </c>
      <c r="Y125" s="1"/>
      <c r="Z125" s="1"/>
      <c r="AA125" s="1"/>
      <c r="AB125" s="1"/>
      <c r="AC125" s="1"/>
      <c r="AD125" s="1"/>
      <c r="AE125" s="1"/>
      <c r="AF125" s="1"/>
      <c r="AG125" s="1"/>
      <c r="AH125" s="16">
        <f t="shared" si="4"/>
        <v>0</v>
      </c>
      <c r="AI125" s="6"/>
      <c r="AJ125" s="6"/>
      <c r="AK125" s="16">
        <f t="shared" si="5"/>
        <v>-8018.6238143751225</v>
      </c>
      <c r="AL125" s="16"/>
      <c r="AM125" s="17">
        <f t="shared" si="6"/>
        <v>-8018.6238143751225</v>
      </c>
      <c r="AN125" s="17"/>
      <c r="AO125" s="18">
        <f t="shared" si="7"/>
        <v>-8018.6238143751225</v>
      </c>
      <c r="AP125" s="18"/>
      <c r="AQ125" s="19">
        <f t="shared" si="8"/>
        <v>-8018.6238143751225</v>
      </c>
      <c r="AR125" s="19"/>
      <c r="AS125" s="11">
        <f t="shared" si="9"/>
        <v>-9795.2670864492502</v>
      </c>
      <c r="AT125" s="11"/>
      <c r="AU125" s="1"/>
      <c r="AV125" s="1"/>
      <c r="AW125" s="1"/>
      <c r="AX125" s="1"/>
      <c r="AY125" s="1"/>
      <c r="AZ125" s="1"/>
    </row>
    <row r="126" spans="1:52" s="12" customFormat="1" ht="14.4" customHeight="1" x14ac:dyDescent="0.3">
      <c r="A126" s="1"/>
      <c r="B126" s="1"/>
      <c r="C126" s="2"/>
      <c r="D126" s="20"/>
      <c r="E126" s="922"/>
      <c r="F126" s="1"/>
      <c r="G126" s="1"/>
      <c r="H126" s="31" t="s">
        <v>274</v>
      </c>
      <c r="I126" s="32"/>
      <c r="J126" s="32"/>
      <c r="K126" s="895"/>
      <c r="L126" s="1112">
        <v>5</v>
      </c>
      <c r="M126" s="901">
        <v>4.54392</v>
      </c>
      <c r="N126" s="607" t="s">
        <v>89</v>
      </c>
      <c r="O126" s="895">
        <f>$M126*O95</f>
        <v>3305.1340202887809</v>
      </c>
      <c r="P126" s="1048">
        <v>10</v>
      </c>
      <c r="Q126" s="895">
        <f>111.27*Q95</f>
        <v>80935.021399481644</v>
      </c>
      <c r="R126" s="1048">
        <f t="shared" si="11"/>
        <v>10</v>
      </c>
      <c r="S126" s="895">
        <f>111.27*S95</f>
        <v>80935.021399481644</v>
      </c>
      <c r="T126" s="1048">
        <f t="shared" si="12"/>
        <v>10</v>
      </c>
      <c r="U126" s="895">
        <f>(35.35+29.26)*U95</f>
        <v>46995.701740096243</v>
      </c>
      <c r="V126" s="1048">
        <f t="shared" si="13"/>
        <v>10</v>
      </c>
      <c r="W126" s="895">
        <f>230*W95</f>
        <v>167296.26064420579</v>
      </c>
      <c r="X126" s="1048">
        <f t="shared" si="14"/>
        <v>10</v>
      </c>
      <c r="Y126" s="1"/>
      <c r="Z126" s="1"/>
      <c r="AA126" s="1"/>
      <c r="AB126" s="1"/>
      <c r="AC126" s="1"/>
      <c r="AD126" s="1"/>
      <c r="AE126" s="1"/>
      <c r="AF126" s="1"/>
      <c r="AG126" s="1"/>
      <c r="AH126" s="16">
        <f t="shared" si="4"/>
        <v>0</v>
      </c>
      <c r="AI126" s="6"/>
      <c r="AJ126" s="6"/>
      <c r="AK126" s="16">
        <f t="shared" si="5"/>
        <v>-492.56243311894627</v>
      </c>
      <c r="AL126" s="16"/>
      <c r="AM126" s="17">
        <f t="shared" si="6"/>
        <v>-12061.704856851606</v>
      </c>
      <c r="AN126" s="17"/>
      <c r="AO126" s="18">
        <f t="shared" si="7"/>
        <v>-12061.704856851606</v>
      </c>
      <c r="AP126" s="18"/>
      <c r="AQ126" s="19">
        <f t="shared" si="8"/>
        <v>-7003.7454012868011</v>
      </c>
      <c r="AR126" s="19"/>
      <c r="AS126" s="11">
        <f t="shared" si="9"/>
        <v>-24932.076184738646</v>
      </c>
      <c r="AT126" s="11"/>
      <c r="AU126" s="1"/>
      <c r="AV126" s="1"/>
      <c r="AW126" s="1"/>
      <c r="AX126" s="1"/>
      <c r="AY126" s="1"/>
      <c r="AZ126" s="1"/>
    </row>
    <row r="127" spans="1:52" s="12" customFormat="1" ht="14.4" customHeight="1" thickBot="1" x14ac:dyDescent="0.35">
      <c r="A127" s="1"/>
      <c r="B127" s="1"/>
      <c r="C127" s="2"/>
      <c r="D127" s="20"/>
      <c r="E127" s="1"/>
      <c r="F127" s="1"/>
      <c r="G127" s="1"/>
      <c r="H127" s="34" t="s">
        <v>275</v>
      </c>
      <c r="I127" s="35"/>
      <c r="J127" s="35"/>
      <c r="K127" s="897"/>
      <c r="L127" s="1113">
        <v>5</v>
      </c>
      <c r="M127" s="905">
        <v>4.54392</v>
      </c>
      <c r="N127" s="608" t="s">
        <v>89</v>
      </c>
      <c r="O127" s="897">
        <f>$M127*O96</f>
        <v>1346.3192512402816</v>
      </c>
      <c r="P127" s="1049">
        <v>10</v>
      </c>
      <c r="Q127" s="897">
        <f>$M127*Q96</f>
        <v>1346.3192512402816</v>
      </c>
      <c r="R127" s="1049">
        <f t="shared" si="11"/>
        <v>10</v>
      </c>
      <c r="S127" s="897">
        <f>$M127*S96</f>
        <v>1346.3192512402816</v>
      </c>
      <c r="T127" s="1049">
        <f t="shared" si="12"/>
        <v>10</v>
      </c>
      <c r="U127" s="897">
        <f>$M127*U96</f>
        <v>1346.3192512402816</v>
      </c>
      <c r="V127" s="1049">
        <f t="shared" si="13"/>
        <v>10</v>
      </c>
      <c r="W127" s="897">
        <f>$M127*W96</f>
        <v>1346.3192512402816</v>
      </c>
      <c r="X127" s="1049">
        <f t="shared" si="14"/>
        <v>10</v>
      </c>
      <c r="Y127" s="1"/>
      <c r="Z127" s="1"/>
      <c r="AA127" s="1"/>
      <c r="AB127" s="1"/>
      <c r="AC127" s="1"/>
      <c r="AD127" s="1"/>
      <c r="AE127" s="1"/>
      <c r="AF127" s="1"/>
      <c r="AG127" s="1"/>
      <c r="AH127" s="16">
        <f t="shared" si="4"/>
        <v>0</v>
      </c>
      <c r="AI127" s="6"/>
      <c r="AJ127" s="6"/>
      <c r="AK127" s="16">
        <f t="shared" si="5"/>
        <v>-200.64126963536856</v>
      </c>
      <c r="AL127" s="16"/>
      <c r="AM127" s="17">
        <f t="shared" si="6"/>
        <v>-200.64126963536856</v>
      </c>
      <c r="AN127" s="17"/>
      <c r="AO127" s="18">
        <f t="shared" si="7"/>
        <v>-200.64126963536856</v>
      </c>
      <c r="AP127" s="18"/>
      <c r="AQ127" s="19">
        <f t="shared" si="8"/>
        <v>-200.64126963536856</v>
      </c>
      <c r="AR127" s="19"/>
      <c r="AS127" s="11">
        <f t="shared" si="9"/>
        <v>-200.64126963536856</v>
      </c>
      <c r="AT127" s="11"/>
      <c r="AU127" s="1"/>
      <c r="AV127" s="1"/>
      <c r="AW127" s="1"/>
      <c r="AX127" s="1"/>
      <c r="AY127" s="1"/>
      <c r="AZ127" s="1"/>
    </row>
    <row r="128" spans="1:52" s="12" customFormat="1" ht="14.4" customHeight="1" thickBot="1" x14ac:dyDescent="0.35">
      <c r="A128" s="1"/>
      <c r="B128" s="1"/>
      <c r="C128" s="2"/>
      <c r="D128" s="20"/>
      <c r="E128" s="1"/>
      <c r="F128" s="1"/>
      <c r="G128" s="1"/>
      <c r="H128" s="28" t="s">
        <v>276</v>
      </c>
      <c r="I128" s="29"/>
      <c r="J128" s="29"/>
      <c r="K128" s="1257"/>
      <c r="L128" s="1258">
        <v>5</v>
      </c>
      <c r="M128" s="900">
        <v>4.54392</v>
      </c>
      <c r="N128" s="609" t="s">
        <v>89</v>
      </c>
      <c r="O128" s="893">
        <f>$M128*O97</f>
        <v>165.33745190670126</v>
      </c>
      <c r="P128" s="1047">
        <v>10</v>
      </c>
      <c r="Q128" s="893">
        <f>$M128*Q97</f>
        <v>165.33745190670126</v>
      </c>
      <c r="R128" s="1047">
        <f t="shared" si="11"/>
        <v>10</v>
      </c>
      <c r="S128" s="893">
        <f>$M128*S97</f>
        <v>165.33745190670126</v>
      </c>
      <c r="T128" s="1047">
        <f t="shared" si="12"/>
        <v>10</v>
      </c>
      <c r="U128" s="893">
        <f>$M128*U97</f>
        <v>165.33745190670126</v>
      </c>
      <c r="V128" s="1047">
        <f t="shared" si="13"/>
        <v>10</v>
      </c>
      <c r="W128" s="893">
        <f>$M128*W97</f>
        <v>165.33745190670126</v>
      </c>
      <c r="X128" s="1047">
        <f t="shared" si="14"/>
        <v>10</v>
      </c>
      <c r="Y128" s="1"/>
      <c r="Z128" s="1"/>
      <c r="AA128" s="1"/>
      <c r="AB128" s="1"/>
      <c r="AC128" s="1"/>
      <c r="AD128" s="1"/>
      <c r="AE128" s="1"/>
      <c r="AF128" s="1"/>
      <c r="AG128" s="1"/>
      <c r="AH128" s="16">
        <f t="shared" si="4"/>
        <v>0</v>
      </c>
      <c r="AI128" s="6"/>
      <c r="AJ128" s="6"/>
      <c r="AK128" s="16">
        <f t="shared" si="5"/>
        <v>-24.640155920132983</v>
      </c>
      <c r="AL128" s="16"/>
      <c r="AM128" s="17">
        <f t="shared" si="6"/>
        <v>-24.640155920132983</v>
      </c>
      <c r="AN128" s="17"/>
      <c r="AO128" s="18">
        <f t="shared" si="7"/>
        <v>-24.640155920132983</v>
      </c>
      <c r="AP128" s="18"/>
      <c r="AQ128" s="19">
        <f t="shared" si="8"/>
        <v>-24.640155920132983</v>
      </c>
      <c r="AR128" s="19"/>
      <c r="AS128" s="11">
        <f t="shared" si="9"/>
        <v>-24.640155920132983</v>
      </c>
      <c r="AT128" s="11"/>
      <c r="AU128" s="1"/>
      <c r="AV128" s="1"/>
      <c r="AW128" s="1"/>
      <c r="AX128" s="1"/>
      <c r="AY128" s="1"/>
      <c r="AZ128" s="1"/>
    </row>
    <row r="129" spans="1:52" s="12" customFormat="1" ht="14.4" customHeight="1" x14ac:dyDescent="0.3">
      <c r="A129" s="1"/>
      <c r="B129" s="1"/>
      <c r="C129" s="2"/>
      <c r="D129" s="3"/>
      <c r="E129" s="1"/>
      <c r="F129" s="1"/>
      <c r="G129" s="1"/>
      <c r="H129" s="1300" t="s">
        <v>295</v>
      </c>
      <c r="I129" s="1301"/>
      <c r="J129" s="1301"/>
      <c r="K129" s="359"/>
      <c r="L129" s="1261">
        <v>10</v>
      </c>
      <c r="M129" s="901">
        <v>35</v>
      </c>
      <c r="N129" s="609" t="s">
        <v>89</v>
      </c>
      <c r="O129" s="895">
        <f>0.05*O102*$M129</f>
        <v>50400</v>
      </c>
      <c r="P129" s="1048">
        <v>10</v>
      </c>
      <c r="Q129" s="895">
        <f>0.05*Q102*$M129</f>
        <v>50400</v>
      </c>
      <c r="R129" s="1048">
        <f t="shared" si="11"/>
        <v>10</v>
      </c>
      <c r="S129" s="895">
        <f>0.05*S102*$M129</f>
        <v>50400</v>
      </c>
      <c r="T129" s="1048">
        <f t="shared" si="12"/>
        <v>10</v>
      </c>
      <c r="U129" s="895">
        <f>0.05*U102*$M129</f>
        <v>50400</v>
      </c>
      <c r="V129" s="1048">
        <f t="shared" si="13"/>
        <v>10</v>
      </c>
      <c r="W129" s="895">
        <f>0.05*W102*$M129</f>
        <v>50400</v>
      </c>
      <c r="X129" s="1048">
        <f t="shared" si="14"/>
        <v>10</v>
      </c>
      <c r="Y129" s="1"/>
      <c r="Z129" s="1"/>
      <c r="AA129" s="1"/>
      <c r="AB129" s="1"/>
      <c r="AC129" s="1"/>
      <c r="AD129" s="1"/>
      <c r="AE129" s="1"/>
      <c r="AF129" s="1"/>
      <c r="AG129" s="1"/>
      <c r="AH129" s="16">
        <f t="shared" si="4"/>
        <v>0</v>
      </c>
      <c r="AI129" s="6"/>
      <c r="AJ129" s="6"/>
      <c r="AK129" s="16">
        <f t="shared" si="5"/>
        <v>-7511.0862303326012</v>
      </c>
      <c r="AL129" s="16"/>
      <c r="AM129" s="17">
        <f t="shared" si="6"/>
        <v>-7511.0862303326012</v>
      </c>
      <c r="AN129" s="17"/>
      <c r="AO129" s="18">
        <f t="shared" si="7"/>
        <v>-7511.0862303326012</v>
      </c>
      <c r="AP129" s="18"/>
      <c r="AQ129" s="19">
        <f t="shared" si="8"/>
        <v>-7511.0862303326012</v>
      </c>
      <c r="AR129" s="19"/>
      <c r="AS129" s="11">
        <f t="shared" si="9"/>
        <v>-7511.0862303326012</v>
      </c>
      <c r="AT129" s="11"/>
      <c r="AU129" s="1"/>
      <c r="AV129" s="1"/>
      <c r="AW129" s="1"/>
      <c r="AX129" s="1"/>
      <c r="AY129" s="1"/>
      <c r="AZ129" s="1"/>
    </row>
    <row r="130" spans="1:52" s="12" customFormat="1" ht="14.4" customHeight="1" thickBot="1" x14ac:dyDescent="0.35">
      <c r="A130" s="1"/>
      <c r="B130" s="1"/>
      <c r="C130" s="2"/>
      <c r="D130" s="3"/>
      <c r="E130" s="1"/>
      <c r="F130" s="1"/>
      <c r="G130" s="1"/>
      <c r="H130" s="1302" t="s">
        <v>92</v>
      </c>
      <c r="I130" s="1303"/>
      <c r="J130" s="1303"/>
      <c r="K130" s="1259"/>
      <c r="L130" s="1260">
        <v>2.5</v>
      </c>
      <c r="M130" s="600"/>
      <c r="N130" s="608"/>
      <c r="O130" s="897">
        <v>0</v>
      </c>
      <c r="P130" s="1049">
        <v>5</v>
      </c>
      <c r="Q130" s="897">
        <v>0</v>
      </c>
      <c r="R130" s="1049">
        <f t="shared" si="11"/>
        <v>5</v>
      </c>
      <c r="S130" s="897">
        <v>0</v>
      </c>
      <c r="T130" s="1049">
        <f t="shared" si="12"/>
        <v>5</v>
      </c>
      <c r="U130" s="897">
        <v>0</v>
      </c>
      <c r="V130" s="1049">
        <f t="shared" si="13"/>
        <v>5</v>
      </c>
      <c r="W130" s="897">
        <v>0</v>
      </c>
      <c r="X130" s="1049">
        <f t="shared" si="14"/>
        <v>5</v>
      </c>
      <c r="Y130" s="1"/>
      <c r="Z130" s="1"/>
      <c r="AA130" s="1"/>
      <c r="AB130" s="1"/>
      <c r="AC130" s="1"/>
      <c r="AD130" s="1"/>
      <c r="AE130" s="1"/>
      <c r="AF130" s="1"/>
      <c r="AG130" s="1"/>
      <c r="AH130" s="16">
        <f t="shared" si="4"/>
        <v>0</v>
      </c>
      <c r="AI130" s="6"/>
      <c r="AJ130" s="6"/>
      <c r="AK130" s="16">
        <f t="shared" si="5"/>
        <v>0</v>
      </c>
      <c r="AL130" s="16"/>
      <c r="AM130" s="17">
        <f t="shared" si="6"/>
        <v>0</v>
      </c>
      <c r="AN130" s="17"/>
      <c r="AO130" s="18">
        <f t="shared" si="7"/>
        <v>0</v>
      </c>
      <c r="AP130" s="18"/>
      <c r="AQ130" s="19">
        <f t="shared" si="8"/>
        <v>0</v>
      </c>
      <c r="AR130" s="19"/>
      <c r="AS130" s="11">
        <f t="shared" si="9"/>
        <v>0</v>
      </c>
      <c r="AT130" s="11"/>
      <c r="AU130" s="1"/>
      <c r="AV130" s="1"/>
      <c r="AW130" s="1"/>
      <c r="AX130" s="1"/>
      <c r="AY130" s="1"/>
      <c r="AZ130" s="1"/>
    </row>
    <row r="131" spans="1:52" s="12" customFormat="1" ht="14.4" customHeight="1" x14ac:dyDescent="0.3">
      <c r="A131" s="1"/>
      <c r="B131" s="1"/>
      <c r="C131" s="2"/>
      <c r="D131" s="3"/>
      <c r="E131" s="1"/>
      <c r="F131" s="1"/>
      <c r="G131" s="1"/>
      <c r="H131" s="14" t="s">
        <v>14</v>
      </c>
      <c r="I131" s="13"/>
      <c r="J131" s="13"/>
      <c r="K131" s="893"/>
      <c r="L131" s="1111">
        <v>5</v>
      </c>
      <c r="M131" s="900">
        <v>0.10511</v>
      </c>
      <c r="N131" s="609" t="s">
        <v>90</v>
      </c>
      <c r="O131" s="893">
        <f>$M131*(O100+O101)</f>
        <v>2484.4744461458713</v>
      </c>
      <c r="P131" s="1047">
        <v>10</v>
      </c>
      <c r="Q131" s="893">
        <f>$M131*(Q100+Q101)</f>
        <v>2484.4744461458713</v>
      </c>
      <c r="R131" s="1047">
        <f t="shared" si="11"/>
        <v>10</v>
      </c>
      <c r="S131" s="893">
        <f>$M131*(S100+S101)</f>
        <v>2484.4744461458713</v>
      </c>
      <c r="T131" s="1047">
        <f t="shared" si="12"/>
        <v>10</v>
      </c>
      <c r="U131" s="893">
        <f>$M131*(U100+U101)</f>
        <v>2484.4744461458713</v>
      </c>
      <c r="V131" s="1047">
        <f t="shared" si="13"/>
        <v>10</v>
      </c>
      <c r="W131" s="893">
        <f>$M131*(W100+W101)</f>
        <v>3034.9460621695657</v>
      </c>
      <c r="X131" s="1047">
        <f t="shared" si="14"/>
        <v>10</v>
      </c>
      <c r="Y131" s="1"/>
      <c r="Z131" s="1"/>
      <c r="AA131" s="1"/>
      <c r="AB131" s="1"/>
      <c r="AC131" s="1"/>
      <c r="AD131" s="1"/>
      <c r="AE131" s="1"/>
      <c r="AF131" s="1"/>
      <c r="AG131" s="1"/>
      <c r="AH131" s="16">
        <f t="shared" si="4"/>
        <v>0</v>
      </c>
      <c r="AI131" s="6"/>
      <c r="AJ131" s="6"/>
      <c r="AK131" s="16">
        <f>PMT($I$42,P131,O131,0,0)</f>
        <v>-370.25995639006885</v>
      </c>
      <c r="AL131" s="16"/>
      <c r="AM131" s="17">
        <f t="shared" si="6"/>
        <v>-370.25995639006885</v>
      </c>
      <c r="AN131" s="17"/>
      <c r="AO131" s="18">
        <f t="shared" si="7"/>
        <v>-370.25995639006885</v>
      </c>
      <c r="AP131" s="18"/>
      <c r="AQ131" s="19">
        <f t="shared" si="8"/>
        <v>-370.25995639006885</v>
      </c>
      <c r="AR131" s="19"/>
      <c r="AS131" s="11">
        <f t="shared" si="9"/>
        <v>-452.29645986833282</v>
      </c>
      <c r="AT131" s="11"/>
      <c r="AU131" s="1"/>
      <c r="AV131" s="1"/>
      <c r="AW131" s="1"/>
      <c r="AX131" s="1"/>
      <c r="AY131" s="1"/>
      <c r="AZ131" s="1"/>
    </row>
    <row r="132" spans="1:52" s="12" customFormat="1" ht="14.4" customHeight="1" thickBot="1" x14ac:dyDescent="0.35">
      <c r="A132" s="1"/>
      <c r="B132" s="1"/>
      <c r="C132" s="2"/>
      <c r="D132" s="3"/>
      <c r="E132" s="1"/>
      <c r="F132" s="1"/>
      <c r="G132" s="1"/>
      <c r="H132" s="1302" t="s">
        <v>15</v>
      </c>
      <c r="I132" s="1303"/>
      <c r="J132" s="1303"/>
      <c r="K132" s="897"/>
      <c r="L132" s="1113">
        <v>5</v>
      </c>
      <c r="M132" s="906">
        <v>0.5</v>
      </c>
      <c r="N132" s="606" t="s">
        <v>89</v>
      </c>
      <c r="O132" s="897">
        <f>$M132*O98</f>
        <v>530.02591632728615</v>
      </c>
      <c r="P132" s="1049">
        <v>10</v>
      </c>
      <c r="Q132" s="897">
        <f>$M132*Q98</f>
        <v>530.02591632728615</v>
      </c>
      <c r="R132" s="1049">
        <f t="shared" si="11"/>
        <v>10</v>
      </c>
      <c r="S132" s="897">
        <f>$M132*S98</f>
        <v>530.02591632728615</v>
      </c>
      <c r="T132" s="1049">
        <f t="shared" si="12"/>
        <v>10</v>
      </c>
      <c r="U132" s="897">
        <f>$M132*U98*3</f>
        <v>1590.0777489818583</v>
      </c>
      <c r="V132" s="1049">
        <f t="shared" si="13"/>
        <v>10</v>
      </c>
      <c r="W132" s="897">
        <f>$M132*W98*2</f>
        <v>1060.0518326545723</v>
      </c>
      <c r="X132" s="1049">
        <f t="shared" si="14"/>
        <v>10</v>
      </c>
      <c r="Y132" s="1"/>
      <c r="Z132" s="1"/>
      <c r="AA132" s="1"/>
      <c r="AB132" s="1"/>
      <c r="AC132" s="1"/>
      <c r="AD132" s="1"/>
      <c r="AE132" s="1"/>
      <c r="AF132" s="1"/>
      <c r="AG132" s="1"/>
      <c r="AH132" s="5">
        <f t="shared" si="4"/>
        <v>0</v>
      </c>
      <c r="AI132" s="6"/>
      <c r="AJ132" s="6"/>
      <c r="AK132" s="5">
        <f t="shared" si="5"/>
        <v>-78.989491306454326</v>
      </c>
      <c r="AL132" s="5"/>
      <c r="AM132" s="7">
        <f t="shared" si="6"/>
        <v>-78.989491306454326</v>
      </c>
      <c r="AN132" s="7"/>
      <c r="AO132" s="8">
        <f t="shared" si="7"/>
        <v>-78.989491306454326</v>
      </c>
      <c r="AP132" s="8"/>
      <c r="AQ132" s="9">
        <f t="shared" si="8"/>
        <v>-236.96847391936296</v>
      </c>
      <c r="AR132" s="9"/>
      <c r="AS132" s="10">
        <f t="shared" si="9"/>
        <v>-157.97898261290865</v>
      </c>
      <c r="AT132" s="11"/>
      <c r="AU132" s="1"/>
      <c r="AV132" s="1"/>
      <c r="AW132" s="1"/>
      <c r="AX132" s="1"/>
      <c r="AY132" s="1"/>
      <c r="AZ132" s="1"/>
    </row>
    <row r="133" spans="1:52" s="12" customFormat="1" ht="14.4" customHeight="1" x14ac:dyDescent="0.3">
      <c r="A133" s="1"/>
      <c r="B133" s="213"/>
      <c r="C133" s="213"/>
      <c r="D133" s="3"/>
      <c r="E133" s="1"/>
      <c r="F133" s="1"/>
      <c r="G133" s="223"/>
      <c r="H133" s="223"/>
      <c r="I133" s="223"/>
      <c r="J133" s="321" t="s">
        <v>282</v>
      </c>
      <c r="K133" s="322">
        <f>SUM(K107:K132)</f>
        <v>110000</v>
      </c>
      <c r="L133" s="557"/>
      <c r="M133" s="252"/>
      <c r="N133" s="323"/>
      <c r="O133" s="576">
        <f>SUM(O107:O132)</f>
        <v>364966.070878667</v>
      </c>
      <c r="P133" s="1051"/>
      <c r="Q133" s="578">
        <f>SUM(Q107:Q132)</f>
        <v>449394.46368666406</v>
      </c>
      <c r="R133" s="1060"/>
      <c r="S133" s="581">
        <f>SUM(S107:S132)</f>
        <v>460770.60941047006</v>
      </c>
      <c r="T133" s="1069"/>
      <c r="U133" s="584">
        <f>SUM(U107:U132)</f>
        <v>569739.20061254327</v>
      </c>
      <c r="V133" s="1076"/>
      <c r="W133" s="587">
        <f>SUM(W107:W132)</f>
        <v>671741.57162807847</v>
      </c>
      <c r="X133" s="1086"/>
      <c r="Y133" s="1"/>
      <c r="Z133" s="1"/>
      <c r="AA133" s="1"/>
      <c r="AB133" s="1"/>
      <c r="AC133" s="1"/>
      <c r="AD133" s="1"/>
      <c r="AE133" s="1"/>
      <c r="AF133" s="1"/>
      <c r="AG133" s="1"/>
      <c r="AH133" s="16">
        <f>SUM(AH107:AH132)</f>
        <v>-14771.809668615255</v>
      </c>
      <c r="AI133" s="6"/>
      <c r="AJ133" s="6"/>
      <c r="AK133" s="16">
        <f>SUM(AK107:AK132)</f>
        <v>-44992.920207347372</v>
      </c>
      <c r="AL133" s="16"/>
      <c r="AM133" s="17">
        <f>SUM(AM107:AM132)</f>
        <v>-57356.328926572278</v>
      </c>
      <c r="AN133" s="17"/>
      <c r="AO133" s="18">
        <f>SUM(AO107:AO132)</f>
        <v>-58685.398854610386</v>
      </c>
      <c r="AP133" s="18"/>
      <c r="AQ133" s="19">
        <f>SUM(AQ107:AQ132)</f>
        <v>-70357.439202142399</v>
      </c>
      <c r="AR133" s="19"/>
      <c r="AS133" s="11">
        <f>SUM(AS107:AS132)</f>
        <v>-83960.234585830854</v>
      </c>
      <c r="AT133" s="11"/>
      <c r="AU133" s="1"/>
      <c r="AV133" s="1"/>
      <c r="AW133" s="1"/>
      <c r="AX133" s="1"/>
      <c r="AY133" s="1"/>
      <c r="AZ133" s="1"/>
    </row>
    <row r="134" spans="1:52" s="12" customFormat="1" ht="14.4" customHeight="1" thickBot="1" x14ac:dyDescent="0.35">
      <c r="A134" s="1"/>
      <c r="B134" s="1"/>
      <c r="C134" s="1"/>
      <c r="D134" s="3"/>
      <c r="E134" s="1"/>
      <c r="F134" s="223"/>
      <c r="G134" s="223"/>
      <c r="H134" s="223"/>
      <c r="I134" s="223"/>
      <c r="J134" s="321" t="s">
        <v>266</v>
      </c>
      <c r="K134" s="325">
        <f>K133/K74</f>
        <v>103.76851075719478</v>
      </c>
      <c r="L134" s="552" t="s">
        <v>114</v>
      </c>
      <c r="M134" s="260"/>
      <c r="N134" s="260"/>
      <c r="O134" s="558">
        <f>O133/AK98</f>
        <v>344.29077865440053</v>
      </c>
      <c r="P134" s="393" t="s">
        <v>114</v>
      </c>
      <c r="Q134" s="562">
        <f>Q133/AM98</f>
        <v>423.93631126630333</v>
      </c>
      <c r="R134" s="563" t="s">
        <v>114</v>
      </c>
      <c r="S134" s="566">
        <f>S133/AO98</f>
        <v>434.66799944735948</v>
      </c>
      <c r="T134" s="567" t="s">
        <v>114</v>
      </c>
      <c r="U134" s="570">
        <f>U133/AQ98</f>
        <v>537.46353061416573</v>
      </c>
      <c r="V134" s="571" t="s">
        <v>114</v>
      </c>
      <c r="W134" s="574">
        <f>W133/AS98</f>
        <v>633.68747728675612</v>
      </c>
      <c r="X134" s="332" t="s">
        <v>114</v>
      </c>
      <c r="Y134" s="40"/>
      <c r="Z134" s="40"/>
      <c r="AA134" s="1"/>
      <c r="AB134" s="1"/>
      <c r="AC134" s="1"/>
      <c r="AD134" s="1"/>
      <c r="AE134" s="1"/>
      <c r="AF134" s="1"/>
      <c r="AG134" s="1"/>
      <c r="AH134" s="212"/>
      <c r="AI134" s="6"/>
      <c r="AJ134" s="6"/>
      <c r="AK134" s="16"/>
      <c r="AL134" s="16"/>
      <c r="AM134" s="17"/>
      <c r="AN134" s="17"/>
      <c r="AO134" s="18"/>
      <c r="AP134" s="18"/>
      <c r="AQ134" s="19"/>
      <c r="AR134" s="19"/>
      <c r="AS134" s="11"/>
      <c r="AT134" s="11"/>
      <c r="AU134" s="1"/>
      <c r="AV134" s="1"/>
      <c r="AW134" s="1"/>
      <c r="AX134" s="1"/>
      <c r="AY134" s="1"/>
      <c r="AZ134" s="1"/>
    </row>
    <row r="135" spans="1:52" s="12" customFormat="1" ht="14.4" customHeight="1" thickBot="1" x14ac:dyDescent="0.35">
      <c r="A135" s="1"/>
      <c r="B135" s="1"/>
      <c r="C135" s="1"/>
      <c r="D135" s="3"/>
      <c r="G135" s="1"/>
      <c r="H135" s="1"/>
      <c r="I135" s="1"/>
      <c r="J135" s="1"/>
      <c r="K135" s="1"/>
      <c r="L135" s="212"/>
      <c r="M135" s="1"/>
      <c r="N135" s="1"/>
      <c r="O135" s="1"/>
      <c r="P135" s="212"/>
      <c r="Q135" s="1"/>
      <c r="R135" s="212"/>
      <c r="S135" s="1"/>
      <c r="T135" s="212"/>
      <c r="U135" s="1"/>
      <c r="V135" s="212"/>
      <c r="W135" s="1"/>
      <c r="X135" s="212"/>
      <c r="Y135" s="1"/>
      <c r="Z135" s="1"/>
      <c r="AA135" s="1"/>
      <c r="AB135" s="1"/>
      <c r="AC135" s="1"/>
      <c r="AD135" s="1"/>
      <c r="AE135" s="1"/>
      <c r="AF135" s="1"/>
      <c r="AG135" s="1"/>
      <c r="AH135" s="212"/>
      <c r="AI135" s="6"/>
      <c r="AJ135" s="6"/>
      <c r="AK135" s="16"/>
      <c r="AL135" s="16"/>
      <c r="AM135" s="17"/>
      <c r="AN135" s="17"/>
      <c r="AO135" s="18"/>
      <c r="AP135" s="18"/>
      <c r="AQ135" s="19"/>
      <c r="AR135" s="19"/>
      <c r="AS135" s="11"/>
      <c r="AT135" s="11"/>
      <c r="AU135" s="1"/>
      <c r="AV135" s="1"/>
      <c r="AW135" s="1"/>
      <c r="AX135" s="1"/>
      <c r="AY135" s="1"/>
      <c r="AZ135" s="1"/>
    </row>
    <row r="136" spans="1:52" s="12" customFormat="1" ht="14.4" customHeight="1" x14ac:dyDescent="0.3">
      <c r="A136" s="1"/>
      <c r="B136" s="1"/>
      <c r="C136" s="1"/>
      <c r="D136" s="3"/>
      <c r="E136" s="1"/>
      <c r="F136" s="1"/>
      <c r="G136" s="1"/>
      <c r="H136" s="1"/>
      <c r="I136" s="38" t="s">
        <v>80</v>
      </c>
      <c r="J136" s="907">
        <v>300</v>
      </c>
      <c r="K136" s="322">
        <f>J136*K98</f>
        <v>318015.54979637172</v>
      </c>
      <c r="L136" s="557"/>
      <c r="M136" s="252"/>
      <c r="N136" s="252"/>
      <c r="O136" s="508">
        <f>$J136*AK98</f>
        <v>318015.54979637172</v>
      </c>
      <c r="P136" s="808"/>
      <c r="Q136" s="512">
        <f>$J136*AM98</f>
        <v>318015.54979637172</v>
      </c>
      <c r="R136" s="1061"/>
      <c r="S136" s="518">
        <f>$J136*AO98</f>
        <v>318015.54979637172</v>
      </c>
      <c r="T136" s="806"/>
      <c r="U136" s="521">
        <f>$J136*AQ98</f>
        <v>318015.54979637172</v>
      </c>
      <c r="V136" s="1077"/>
      <c r="W136" s="527">
        <f>$J136*AS98</f>
        <v>318015.54979637172</v>
      </c>
      <c r="X136" s="1087"/>
      <c r="Y136" s="1"/>
      <c r="Z136" s="1"/>
      <c r="AA136" s="1"/>
      <c r="AB136" s="1"/>
      <c r="AC136" s="1"/>
      <c r="AD136" s="1"/>
      <c r="AE136" s="1"/>
      <c r="AF136" s="1"/>
      <c r="AG136" s="38" t="s">
        <v>52</v>
      </c>
      <c r="AH136" s="5">
        <f>PMT($I$42,100,K136,0,0)</f>
        <v>-25452.814700589679</v>
      </c>
      <c r="AI136" s="6"/>
      <c r="AJ136" s="6"/>
      <c r="AK136" s="5">
        <f>PMT($I$42,100,O136,0,0)</f>
        <v>-25452.814700589679</v>
      </c>
      <c r="AL136" s="5"/>
      <c r="AM136" s="7">
        <f>PMT($I$42,100,Q136,0,0)</f>
        <v>-25452.814700589679</v>
      </c>
      <c r="AN136" s="7"/>
      <c r="AO136" s="8">
        <f>PMT($I$42,100,S136,0,0)</f>
        <v>-25452.814700589679</v>
      </c>
      <c r="AP136" s="8"/>
      <c r="AQ136" s="9">
        <f>PMT($I$42,100,U136,0,0)</f>
        <v>-25452.814700589679</v>
      </c>
      <c r="AR136" s="9"/>
      <c r="AS136" s="10">
        <f>PMT($I$42,100,W136,0,0)</f>
        <v>-25452.814700589679</v>
      </c>
      <c r="AT136" s="10"/>
      <c r="AU136" s="1"/>
      <c r="AV136" s="1"/>
      <c r="AW136" s="1"/>
      <c r="AX136" s="1"/>
      <c r="AY136" s="1"/>
      <c r="AZ136" s="1"/>
    </row>
    <row r="137" spans="1:52" s="12" customFormat="1" ht="14.4" customHeight="1" x14ac:dyDescent="0.3">
      <c r="A137" s="1"/>
      <c r="B137" s="1"/>
      <c r="C137" s="1"/>
      <c r="D137" s="3"/>
      <c r="E137" s="1"/>
      <c r="F137" s="1"/>
      <c r="G137" s="1"/>
      <c r="H137" s="1"/>
      <c r="I137" s="1"/>
      <c r="J137" s="321" t="s">
        <v>281</v>
      </c>
      <c r="K137" s="329">
        <f>K133+K136</f>
        <v>428015.54979637172</v>
      </c>
      <c r="L137" s="551"/>
      <c r="M137" s="39"/>
      <c r="N137" s="39"/>
      <c r="O137" s="509">
        <f>O133+O136-K136</f>
        <v>364966.07087866706</v>
      </c>
      <c r="P137" s="799"/>
      <c r="Q137" s="514">
        <f>Q133+Q136-K136</f>
        <v>449394.46368666412</v>
      </c>
      <c r="R137" s="993"/>
      <c r="S137" s="519">
        <f>S133+S136-K136</f>
        <v>460770.60941047012</v>
      </c>
      <c r="T137" s="801"/>
      <c r="U137" s="523">
        <f>U133+U136-K136</f>
        <v>569739.20061254327</v>
      </c>
      <c r="V137" s="1078"/>
      <c r="W137" s="528">
        <f>W133+W136-K136</f>
        <v>671741.57162807847</v>
      </c>
      <c r="X137" s="986"/>
      <c r="Y137" s="1"/>
      <c r="Z137" s="1"/>
      <c r="AA137" s="1"/>
      <c r="AB137" s="1"/>
      <c r="AC137" s="1"/>
      <c r="AD137" s="1"/>
      <c r="AE137" s="1"/>
      <c r="AF137" s="1"/>
      <c r="AG137" s="38" t="s">
        <v>53</v>
      </c>
      <c r="AH137" s="16">
        <f>AH133+AH136</f>
        <v>-40224.624369204932</v>
      </c>
      <c r="AI137" s="6"/>
      <c r="AJ137" s="6"/>
      <c r="AK137" s="16">
        <f>AK133+AK136-$AH136</f>
        <v>-44992.920207347372</v>
      </c>
      <c r="AL137" s="16"/>
      <c r="AM137" s="17">
        <f>AM133+AM136-AH136</f>
        <v>-57356.328926572285</v>
      </c>
      <c r="AN137" s="17"/>
      <c r="AO137" s="18">
        <f>AO133+AO136-AH136</f>
        <v>-58685.398854610394</v>
      </c>
      <c r="AP137" s="18"/>
      <c r="AQ137" s="19">
        <f>AQ133+AQ136-AH136</f>
        <v>-70357.439202142399</v>
      </c>
      <c r="AR137" s="19"/>
      <c r="AS137" s="11">
        <f>AS133+AS136-AH136</f>
        <v>-83960.234585830854</v>
      </c>
      <c r="AT137" s="11"/>
      <c r="AU137" s="1"/>
      <c r="AV137" s="1"/>
      <c r="AW137" s="1"/>
      <c r="AX137" s="1"/>
      <c r="AY137" s="1"/>
      <c r="AZ137" s="1"/>
    </row>
    <row r="138" spans="1:52" s="12" customFormat="1" ht="14.4" customHeight="1" thickBot="1" x14ac:dyDescent="0.35">
      <c r="A138" s="1"/>
      <c r="B138" s="1"/>
      <c r="C138" s="1"/>
      <c r="D138" s="3"/>
      <c r="E138" s="40"/>
      <c r="F138" s="1"/>
      <c r="G138" s="1"/>
      <c r="H138" s="1"/>
      <c r="I138" s="1"/>
      <c r="J138" s="38" t="s">
        <v>267</v>
      </c>
      <c r="K138" s="1228">
        <f>K137/K74</f>
        <v>403.76851075719486</v>
      </c>
      <c r="L138" s="552" t="s">
        <v>114</v>
      </c>
      <c r="M138" s="260"/>
      <c r="N138" s="260"/>
      <c r="O138" s="558">
        <f>O137/AK98</f>
        <v>344.29077865440058</v>
      </c>
      <c r="P138" s="559" t="s">
        <v>114</v>
      </c>
      <c r="Q138" s="562">
        <f>Q137/AM98</f>
        <v>423.93631126630339</v>
      </c>
      <c r="R138" s="563" t="s">
        <v>114</v>
      </c>
      <c r="S138" s="566">
        <f>S137/AO98</f>
        <v>434.66799944735953</v>
      </c>
      <c r="T138" s="567" t="s">
        <v>114</v>
      </c>
      <c r="U138" s="570">
        <f>U137/AQ98</f>
        <v>537.46353061416573</v>
      </c>
      <c r="V138" s="571" t="s">
        <v>114</v>
      </c>
      <c r="W138" s="574">
        <f>W137/AS98</f>
        <v>633.68747728675612</v>
      </c>
      <c r="X138" s="332" t="s">
        <v>114</v>
      </c>
      <c r="Y138" s="1"/>
      <c r="Z138" s="1"/>
      <c r="AA138" s="1"/>
      <c r="AB138" s="1"/>
      <c r="AC138" s="1"/>
      <c r="AD138" s="1"/>
      <c r="AE138" s="1"/>
      <c r="AF138" s="1"/>
      <c r="AG138" s="1"/>
      <c r="AH138" s="1"/>
      <c r="AI138" s="6"/>
      <c r="AJ138" s="6"/>
      <c r="AK138" s="16"/>
      <c r="AL138" s="16"/>
      <c r="AM138" s="17"/>
      <c r="AN138" s="17"/>
      <c r="AO138" s="18"/>
      <c r="AP138" s="18"/>
      <c r="AQ138" s="19"/>
      <c r="AR138" s="19"/>
      <c r="AS138" s="11"/>
      <c r="AT138" s="11"/>
      <c r="AU138" s="1"/>
      <c r="AV138" s="1"/>
      <c r="AW138" s="1"/>
      <c r="AX138" s="1"/>
      <c r="AY138" s="1"/>
      <c r="AZ138" s="1"/>
    </row>
    <row r="139" spans="1:52" s="12" customFormat="1" ht="14.4" customHeight="1" thickBot="1" x14ac:dyDescent="0.35">
      <c r="A139" s="1"/>
      <c r="B139" s="1"/>
      <c r="C139" s="1"/>
      <c r="D139" s="3"/>
      <c r="E139" s="1"/>
      <c r="F139" s="223"/>
      <c r="G139" s="223"/>
      <c r="H139" s="223"/>
      <c r="I139" s="223"/>
      <c r="J139" s="321" t="s">
        <v>268</v>
      </c>
      <c r="K139" s="333">
        <f>K137/K61</f>
        <v>14.861651034596241</v>
      </c>
      <c r="L139" s="556" t="s">
        <v>114</v>
      </c>
      <c r="M139" s="334"/>
      <c r="N139" s="334"/>
      <c r="O139" s="560">
        <f>O137/O102</f>
        <v>12.672433016620383</v>
      </c>
      <c r="P139" s="561" t="s">
        <v>114</v>
      </c>
      <c r="Q139" s="564">
        <f>Q137/Q102</f>
        <v>15.603974433564726</v>
      </c>
      <c r="R139" s="565" t="s">
        <v>114</v>
      </c>
      <c r="S139" s="568">
        <f>S137/S102</f>
        <v>15.998979493419101</v>
      </c>
      <c r="T139" s="569" t="s">
        <v>114</v>
      </c>
      <c r="U139" s="572">
        <f>U137/U102</f>
        <v>19.782611132379973</v>
      </c>
      <c r="V139" s="573" t="s">
        <v>114</v>
      </c>
      <c r="W139" s="575">
        <f>W137/W102</f>
        <v>23.324360125974948</v>
      </c>
      <c r="X139" s="335" t="s">
        <v>114</v>
      </c>
      <c r="Y139" s="1"/>
      <c r="Z139" s="1"/>
      <c r="AA139" s="1"/>
      <c r="AB139" s="1"/>
      <c r="AC139" s="1"/>
      <c r="AD139" s="1"/>
      <c r="AE139" s="1"/>
      <c r="AF139" s="1"/>
      <c r="AG139" s="1"/>
      <c r="AH139" s="1"/>
      <c r="AI139" s="6"/>
      <c r="AJ139" s="6"/>
      <c r="AK139" s="16"/>
      <c r="AL139" s="16"/>
      <c r="AM139" s="17"/>
      <c r="AN139" s="17"/>
      <c r="AO139" s="18"/>
      <c r="AP139" s="18"/>
      <c r="AQ139" s="19"/>
      <c r="AR139" s="19"/>
      <c r="AS139" s="11"/>
      <c r="AT139" s="11"/>
      <c r="AU139" s="1"/>
      <c r="AV139" s="1"/>
      <c r="AW139" s="1"/>
      <c r="AX139" s="1"/>
      <c r="AY139" s="1"/>
      <c r="AZ139" s="1"/>
    </row>
    <row r="140" spans="1:52" s="12" customFormat="1" ht="14.4" customHeight="1" thickBot="1" x14ac:dyDescent="0.35">
      <c r="A140" s="1"/>
      <c r="B140" s="1"/>
      <c r="C140" s="1"/>
      <c r="D140" s="3"/>
      <c r="E140" s="1"/>
      <c r="F140" s="76" t="s">
        <v>33</v>
      </c>
      <c r="G140" s="223"/>
      <c r="H140" s="223"/>
      <c r="I140" s="223"/>
      <c r="J140" s="1"/>
      <c r="K140" s="1"/>
      <c r="L140" s="1"/>
      <c r="M140" s="1"/>
      <c r="N140" s="1"/>
      <c r="O140" s="1"/>
      <c r="P140" s="212"/>
      <c r="Q140" s="1"/>
      <c r="R140" s="212"/>
      <c r="S140" s="1"/>
      <c r="T140" s="212"/>
      <c r="U140" s="1"/>
      <c r="V140" s="212"/>
      <c r="W140" s="1"/>
      <c r="X140" s="212"/>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row>
    <row r="141" spans="1:52" s="12" customFormat="1" ht="14.4" customHeight="1" x14ac:dyDescent="0.3">
      <c r="A141" s="1"/>
      <c r="B141" s="1"/>
      <c r="C141" s="1"/>
      <c r="D141" s="3"/>
      <c r="E141" s="1"/>
      <c r="F141" s="336"/>
      <c r="G141" s="1"/>
      <c r="H141" s="336"/>
      <c r="I141" s="336"/>
      <c r="J141" s="337" t="s">
        <v>270</v>
      </c>
      <c r="K141" s="322">
        <f>AH137*(-1)</f>
        <v>40224.624369204932</v>
      </c>
      <c r="L141" s="383"/>
      <c r="M141" s="252"/>
      <c r="N141" s="252"/>
      <c r="O141" s="508">
        <f>AK137*(-1)</f>
        <v>44992.920207347372</v>
      </c>
      <c r="P141" s="808"/>
      <c r="Q141" s="512">
        <f>AM137*(-1)</f>
        <v>57356.328926572285</v>
      </c>
      <c r="R141" s="1061"/>
      <c r="S141" s="518">
        <f>AO137*(-1)</f>
        <v>58685.398854610394</v>
      </c>
      <c r="T141" s="806"/>
      <c r="U141" s="521">
        <f>AQ137*(-1)</f>
        <v>70357.439202142399</v>
      </c>
      <c r="V141" s="1077"/>
      <c r="W141" s="527">
        <f>AS137*(-1)</f>
        <v>83960.234585830854</v>
      </c>
      <c r="X141" s="1087"/>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row>
    <row r="142" spans="1:52" s="12" customFormat="1" ht="14.4" customHeight="1" x14ac:dyDescent="0.3">
      <c r="A142" s="1"/>
      <c r="B142" s="1"/>
      <c r="C142" s="1"/>
      <c r="D142" s="3"/>
      <c r="E142" s="1"/>
      <c r="F142" s="1"/>
      <c r="G142" s="1"/>
      <c r="H142" s="1"/>
      <c r="I142" s="38" t="s">
        <v>263</v>
      </c>
      <c r="J142" s="908">
        <v>0.01</v>
      </c>
      <c r="K142" s="329">
        <f>J142*K133</f>
        <v>1100</v>
      </c>
      <c r="L142" s="385"/>
      <c r="M142" s="39"/>
      <c r="N142" s="39"/>
      <c r="O142" s="509">
        <f>$J142*O133</f>
        <v>3649.6607087866701</v>
      </c>
      <c r="P142" s="799"/>
      <c r="Q142" s="514">
        <f>J142*Q133</f>
        <v>4493.9446368666404</v>
      </c>
      <c r="R142" s="993"/>
      <c r="S142" s="519">
        <f>J142*S133</f>
        <v>4607.7060941047012</v>
      </c>
      <c r="T142" s="801"/>
      <c r="U142" s="523">
        <f>J142*U133</f>
        <v>5697.392006125433</v>
      </c>
      <c r="V142" s="1078"/>
      <c r="W142" s="528">
        <f>J142*W133</f>
        <v>6717.4157162807851</v>
      </c>
      <c r="X142" s="986"/>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row>
    <row r="143" spans="1:52" s="12" customFormat="1" ht="14.4" customHeight="1" thickBot="1" x14ac:dyDescent="0.35">
      <c r="A143" s="1"/>
      <c r="B143" s="1"/>
      <c r="C143" s="1"/>
      <c r="D143" s="3"/>
      <c r="E143" s="1"/>
      <c r="F143" s="1"/>
      <c r="G143" s="1"/>
      <c r="H143" s="1"/>
      <c r="I143" s="38" t="s">
        <v>239</v>
      </c>
      <c r="J143" s="908">
        <v>5.0000000000000001E-3</v>
      </c>
      <c r="K143" s="338">
        <f>J143*K133</f>
        <v>550</v>
      </c>
      <c r="L143" s="387"/>
      <c r="M143" s="260"/>
      <c r="N143" s="260"/>
      <c r="O143" s="510">
        <f>J143*O133</f>
        <v>1824.830354393335</v>
      </c>
      <c r="P143" s="393"/>
      <c r="Q143" s="516">
        <f>J143*Q133</f>
        <v>2246.9723184333202</v>
      </c>
      <c r="R143" s="1062"/>
      <c r="S143" s="520">
        <f>J143*S133</f>
        <v>2303.8530470523506</v>
      </c>
      <c r="T143" s="802"/>
      <c r="U143" s="525">
        <f>U133*J143</f>
        <v>2848.6960030627165</v>
      </c>
      <c r="V143" s="1079"/>
      <c r="W143" s="529">
        <f>J143*W133</f>
        <v>3358.7078581403925</v>
      </c>
      <c r="X143" s="987"/>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row>
    <row r="144" spans="1:52" s="12" customFormat="1" ht="14.4" customHeight="1" thickBot="1" x14ac:dyDescent="0.35">
      <c r="A144" s="1"/>
      <c r="B144" s="1"/>
      <c r="C144" s="1"/>
      <c r="D144" s="3"/>
      <c r="E144" s="1"/>
      <c r="F144" s="1"/>
      <c r="G144" s="40"/>
      <c r="H144" s="1"/>
      <c r="I144" s="1" t="s">
        <v>144</v>
      </c>
      <c r="J144" s="1"/>
      <c r="K144" s="22"/>
      <c r="L144" s="22"/>
      <c r="M144" s="39"/>
      <c r="N144" s="1"/>
      <c r="O144" s="1"/>
      <c r="P144" s="212"/>
      <c r="Q144" s="1"/>
      <c r="R144" s="212"/>
      <c r="S144" s="1"/>
      <c r="T144" s="212"/>
      <c r="U144" s="1"/>
      <c r="V144" s="212"/>
      <c r="W144" s="1"/>
      <c r="X144" s="212"/>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row>
    <row r="145" spans="1:52" s="12" customFormat="1" ht="14.4" customHeight="1" thickBot="1" x14ac:dyDescent="0.35">
      <c r="A145" s="1"/>
      <c r="B145" s="1"/>
      <c r="C145" s="1"/>
      <c r="D145" s="3"/>
      <c r="E145" s="1"/>
      <c r="F145" s="1"/>
      <c r="G145" s="40"/>
      <c r="H145" s="1"/>
      <c r="I145" s="1"/>
      <c r="J145" s="321" t="s">
        <v>269</v>
      </c>
      <c r="K145" s="340">
        <f>K141+K142+K143</f>
        <v>41874.624369204932</v>
      </c>
      <c r="L145" s="341"/>
      <c r="M145" s="334"/>
      <c r="N145" s="959"/>
      <c r="O145" s="401">
        <f>O141+O142+O143</f>
        <v>50467.41127052738</v>
      </c>
      <c r="P145" s="819"/>
      <c r="Q145" s="415">
        <f>Q141+Q142+Q143</f>
        <v>64097.245881872244</v>
      </c>
      <c r="R145" s="811"/>
      <c r="S145" s="428">
        <f>S141+S142+S143</f>
        <v>65596.957995767443</v>
      </c>
      <c r="T145" s="812"/>
      <c r="U145" s="439">
        <f>U141+U142+U143</f>
        <v>78903.527211330555</v>
      </c>
      <c r="V145" s="815"/>
      <c r="W145" s="446">
        <f>W141+W142+W143</f>
        <v>94036.358160252028</v>
      </c>
      <c r="X145" s="818"/>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row>
    <row r="146" spans="1:52" s="12" customFormat="1" ht="14.4" customHeight="1" thickBot="1" x14ac:dyDescent="0.35">
      <c r="A146" s="1"/>
      <c r="B146" s="1"/>
      <c r="C146" s="1"/>
      <c r="D146" s="3"/>
      <c r="E146" s="1"/>
      <c r="F146" s="1"/>
      <c r="G146" s="1"/>
      <c r="H146" s="1"/>
      <c r="I146" s="1289" t="s">
        <v>291</v>
      </c>
      <c r="J146" s="1290"/>
      <c r="K146" s="960">
        <f>K145/K61</f>
        <v>1.4539800128196156</v>
      </c>
      <c r="L146" s="1132">
        <f>K146/K182</f>
        <v>8.2487379045611112E-2</v>
      </c>
      <c r="M146" s="1"/>
      <c r="N146" s="1"/>
      <c r="O146" s="960">
        <f>O145/O61</f>
        <v>1.7523406691155341</v>
      </c>
      <c r="P146" s="1052">
        <f>O146/O181</f>
        <v>9.687734091053668E-2</v>
      </c>
      <c r="Q146" s="960">
        <f>Q145/Q61</f>
        <v>2.2255988153427864</v>
      </c>
      <c r="R146" s="1052">
        <f>Q146/Q181</f>
        <v>0.12096753172090584</v>
      </c>
      <c r="S146" s="960">
        <f>S145/S61</f>
        <v>2.2776721526308141</v>
      </c>
      <c r="T146" s="1052">
        <f>S146/S181</f>
        <v>0.12344846340104766</v>
      </c>
      <c r="U146" s="960">
        <f>U145/U61</f>
        <v>2.7397058059489776</v>
      </c>
      <c r="V146" s="1052">
        <f>U146/U181</f>
        <v>0.14714813236837992</v>
      </c>
      <c r="W146" s="960">
        <f>W145/W61</f>
        <v>3.2651513250087509</v>
      </c>
      <c r="X146" s="1052">
        <f>W146/W181</f>
        <v>0.16797888129102126</v>
      </c>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row>
    <row r="147" spans="1:52" s="12" customFormat="1" ht="14.4" customHeight="1" thickBot="1" x14ac:dyDescent="0.35">
      <c r="A147" s="1"/>
      <c r="B147" s="42" t="s">
        <v>265</v>
      </c>
      <c r="C147" s="1"/>
      <c r="D147" s="3"/>
      <c r="E147" s="1"/>
      <c r="F147" s="1"/>
      <c r="G147" s="40"/>
      <c r="H147" s="1"/>
      <c r="I147" s="1"/>
      <c r="J147" s="38"/>
      <c r="K147" s="530" t="str">
        <f>K55</f>
        <v>Existing Production System</v>
      </c>
      <c r="L147" s="530"/>
      <c r="M147" s="531"/>
      <c r="N147" s="321"/>
      <c r="O147" s="1181" t="str">
        <f>O104</f>
        <v>1. Floor Feeding</v>
      </c>
      <c r="P147" s="1182"/>
      <c r="Q147" s="1183" t="str">
        <f>Q104</f>
        <v xml:space="preserve">2. Short Stalls </v>
      </c>
      <c r="R147" s="1184"/>
      <c r="S147" s="1185" t="str">
        <f>S104</f>
        <v>3. Trickle Feeding</v>
      </c>
      <c r="T147" s="1186"/>
      <c r="U147" s="1187" t="str">
        <f>U104</f>
        <v>4. Elec Sow Feeding</v>
      </c>
      <c r="V147" s="1188"/>
      <c r="W147" s="1189" t="str">
        <f>W104</f>
        <v>5. Free Access Stalls</v>
      </c>
      <c r="X147" s="1190"/>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row>
    <row r="148" spans="1:52" s="12" customFormat="1" ht="14.4" customHeight="1" thickBot="1" x14ac:dyDescent="0.35">
      <c r="A148" s="1"/>
      <c r="B148" s="1"/>
      <c r="C148" s="1"/>
      <c r="D148" s="1"/>
      <c r="E148" s="1"/>
      <c r="F148" s="1"/>
      <c r="G148" s="223"/>
      <c r="H148" s="223"/>
      <c r="I148" s="223"/>
      <c r="J148" s="1119" t="s">
        <v>252</v>
      </c>
      <c r="K148" s="532" t="s">
        <v>72</v>
      </c>
      <c r="L148" s="533"/>
      <c r="M148" s="38"/>
      <c r="N148" s="38"/>
      <c r="O148" s="961" t="s">
        <v>115</v>
      </c>
      <c r="P148" s="1053"/>
      <c r="Q148" s="962" t="str">
        <f>O148</f>
        <v>Expected Cost/Sow/Yr</v>
      </c>
      <c r="R148" s="1063"/>
      <c r="S148" s="963" t="str">
        <f>O148</f>
        <v>Expected Cost/Sow/Yr</v>
      </c>
      <c r="T148" s="1070"/>
      <c r="U148" s="964" t="str">
        <f>O148</f>
        <v>Expected Cost/Sow/Yr</v>
      </c>
      <c r="V148" s="1080"/>
      <c r="W148" s="965" t="str">
        <f>O148</f>
        <v>Expected Cost/Sow/Yr</v>
      </c>
      <c r="X148" s="1088"/>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1:52" s="12" customFormat="1" ht="14.4" customHeight="1" x14ac:dyDescent="0.3">
      <c r="A149" s="1282" t="s">
        <v>240</v>
      </c>
      <c r="B149" s="1283"/>
      <c r="C149" s="1"/>
      <c r="D149" s="1"/>
      <c r="E149" s="214"/>
      <c r="F149" s="1"/>
      <c r="G149" s="14" t="s">
        <v>16</v>
      </c>
      <c r="H149" s="13"/>
      <c r="I149" s="13"/>
      <c r="J149" s="909">
        <v>70000</v>
      </c>
      <c r="K149" s="534">
        <f>J149/K$58</f>
        <v>58.333333333333336</v>
      </c>
      <c r="L149" s="535" t="s">
        <v>114</v>
      </c>
      <c r="M149" s="252"/>
      <c r="N149" s="252"/>
      <c r="O149" s="910">
        <f>$K149</f>
        <v>58.333333333333336</v>
      </c>
      <c r="P149" s="1054" t="s">
        <v>114</v>
      </c>
      <c r="Q149" s="910">
        <f>$K149</f>
        <v>58.333333333333336</v>
      </c>
      <c r="R149" s="1064" t="s">
        <v>114</v>
      </c>
      <c r="S149" s="910">
        <f>$K149</f>
        <v>58.333333333333336</v>
      </c>
      <c r="T149" s="1071" t="s">
        <v>114</v>
      </c>
      <c r="U149" s="910">
        <f>$K149</f>
        <v>58.333333333333336</v>
      </c>
      <c r="V149" s="1081" t="s">
        <v>114</v>
      </c>
      <c r="W149" s="910">
        <f>$K149</f>
        <v>58.333333333333336</v>
      </c>
      <c r="X149" s="1089" t="s">
        <v>114</v>
      </c>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1:52" s="12" customFormat="1" ht="14.4" customHeight="1" x14ac:dyDescent="0.3">
      <c r="A150" s="1284" t="s">
        <v>250</v>
      </c>
      <c r="B150" s="1285"/>
      <c r="C150" s="1285"/>
      <c r="D150" s="1286"/>
      <c r="E150" s="1"/>
      <c r="F150" s="1"/>
      <c r="G150" s="21" t="s">
        <v>17</v>
      </c>
      <c r="H150" s="22"/>
      <c r="I150" s="22"/>
      <c r="J150" s="907">
        <v>8500</v>
      </c>
      <c r="K150" s="536">
        <f>J150/K$58</f>
        <v>7.083333333333333</v>
      </c>
      <c r="L150" s="537" t="s">
        <v>114</v>
      </c>
      <c r="M150" s="39"/>
      <c r="N150" s="39"/>
      <c r="O150" s="911">
        <f t="shared" ref="O150:W164" si="15">$K150</f>
        <v>7.083333333333333</v>
      </c>
      <c r="P150" s="1055" t="s">
        <v>114</v>
      </c>
      <c r="Q150" s="911">
        <f t="shared" si="15"/>
        <v>7.083333333333333</v>
      </c>
      <c r="R150" s="1065" t="s">
        <v>114</v>
      </c>
      <c r="S150" s="911">
        <f t="shared" si="15"/>
        <v>7.083333333333333</v>
      </c>
      <c r="T150" s="1072" t="s">
        <v>114</v>
      </c>
      <c r="U150" s="911">
        <f t="shared" si="15"/>
        <v>7.083333333333333</v>
      </c>
      <c r="V150" s="1082" t="s">
        <v>114</v>
      </c>
      <c r="W150" s="911">
        <f t="shared" si="15"/>
        <v>7.083333333333333</v>
      </c>
      <c r="X150" s="1090" t="s">
        <v>114</v>
      </c>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1:52" s="12" customFormat="1" ht="14.4" customHeight="1" thickBot="1" x14ac:dyDescent="0.35">
      <c r="A151" s="1"/>
      <c r="B151" s="1"/>
      <c r="C151" s="1"/>
      <c r="D151" s="3"/>
      <c r="E151" s="1"/>
      <c r="F151" s="1"/>
      <c r="G151" s="24" t="s">
        <v>50</v>
      </c>
      <c r="H151" s="25"/>
      <c r="I151" s="25"/>
      <c r="J151" s="912">
        <v>0</v>
      </c>
      <c r="K151" s="538">
        <f t="shared" ref="K151:K161" si="16">J151/K$58</f>
        <v>0</v>
      </c>
      <c r="L151" s="539" t="s">
        <v>114</v>
      </c>
      <c r="M151" s="260"/>
      <c r="N151" s="260"/>
      <c r="O151" s="913">
        <f t="shared" si="15"/>
        <v>0</v>
      </c>
      <c r="P151" s="1056" t="s">
        <v>114</v>
      </c>
      <c r="Q151" s="913">
        <f t="shared" si="15"/>
        <v>0</v>
      </c>
      <c r="R151" s="1066" t="s">
        <v>114</v>
      </c>
      <c r="S151" s="913">
        <f t="shared" si="15"/>
        <v>0</v>
      </c>
      <c r="T151" s="1073" t="s">
        <v>114</v>
      </c>
      <c r="U151" s="913">
        <f t="shared" si="15"/>
        <v>0</v>
      </c>
      <c r="V151" s="1083" t="s">
        <v>114</v>
      </c>
      <c r="W151" s="913">
        <f t="shared" si="15"/>
        <v>0</v>
      </c>
      <c r="X151" s="1091" t="s">
        <v>114</v>
      </c>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1:52" s="12" customFormat="1" ht="14.4" customHeight="1" x14ac:dyDescent="0.3">
      <c r="A152" s="1"/>
      <c r="B152" s="1"/>
      <c r="C152" s="1"/>
      <c r="D152" s="3"/>
      <c r="E152" s="1"/>
      <c r="F152" s="1"/>
      <c r="G152" s="21" t="s">
        <v>18</v>
      </c>
      <c r="H152" s="14"/>
      <c r="I152" s="14"/>
      <c r="J152" s="909">
        <v>3000</v>
      </c>
      <c r="K152" s="534">
        <f t="shared" si="16"/>
        <v>2.5</v>
      </c>
      <c r="L152" s="535" t="s">
        <v>114</v>
      </c>
      <c r="M152" s="252"/>
      <c r="N152" s="252"/>
      <c r="O152" s="910">
        <f t="shared" si="15"/>
        <v>2.5</v>
      </c>
      <c r="P152" s="1054" t="s">
        <v>114</v>
      </c>
      <c r="Q152" s="910">
        <f t="shared" si="15"/>
        <v>2.5</v>
      </c>
      <c r="R152" s="1064" t="s">
        <v>114</v>
      </c>
      <c r="S152" s="910">
        <f t="shared" si="15"/>
        <v>2.5</v>
      </c>
      <c r="T152" s="1071" t="s">
        <v>114</v>
      </c>
      <c r="U152" s="910">
        <f t="shared" si="15"/>
        <v>2.5</v>
      </c>
      <c r="V152" s="1081" t="s">
        <v>114</v>
      </c>
      <c r="W152" s="910">
        <f t="shared" si="15"/>
        <v>2.5</v>
      </c>
      <c r="X152" s="1089" t="s">
        <v>114</v>
      </c>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1:52" s="12" customFormat="1" ht="14.4" customHeight="1" x14ac:dyDescent="0.3">
      <c r="A153" s="1"/>
      <c r="B153" s="1"/>
      <c r="C153" s="1"/>
      <c r="D153" s="3"/>
      <c r="E153" s="1"/>
      <c r="F153" s="1"/>
      <c r="G153" s="21" t="s">
        <v>288</v>
      </c>
      <c r="H153" s="21"/>
      <c r="I153" s="21"/>
      <c r="J153" s="907">
        <v>0</v>
      </c>
      <c r="K153" s="536">
        <f t="shared" si="16"/>
        <v>0</v>
      </c>
      <c r="L153" s="537" t="s">
        <v>114</v>
      </c>
      <c r="M153" s="39"/>
      <c r="N153" s="39"/>
      <c r="O153" s="911">
        <f t="shared" si="15"/>
        <v>0</v>
      </c>
      <c r="P153" s="1055" t="s">
        <v>114</v>
      </c>
      <c r="Q153" s="911">
        <f t="shared" si="15"/>
        <v>0</v>
      </c>
      <c r="R153" s="1065" t="s">
        <v>114</v>
      </c>
      <c r="S153" s="911">
        <f t="shared" si="15"/>
        <v>0</v>
      </c>
      <c r="T153" s="1072" t="s">
        <v>114</v>
      </c>
      <c r="U153" s="911">
        <f t="shared" si="15"/>
        <v>0</v>
      </c>
      <c r="V153" s="1082" t="s">
        <v>114</v>
      </c>
      <c r="W153" s="911">
        <f t="shared" si="15"/>
        <v>0</v>
      </c>
      <c r="X153" s="1090" t="s">
        <v>114</v>
      </c>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1:52" s="12" customFormat="1" ht="14.4" customHeight="1" thickBot="1" x14ac:dyDescent="0.35">
      <c r="A154" s="1"/>
      <c r="B154" s="1"/>
      <c r="C154" s="1"/>
      <c r="D154" s="3"/>
      <c r="E154" s="1"/>
      <c r="F154" s="1"/>
      <c r="G154" s="24" t="s">
        <v>20</v>
      </c>
      <c r="H154" s="24"/>
      <c r="I154" s="24"/>
      <c r="J154" s="912">
        <v>0</v>
      </c>
      <c r="K154" s="538">
        <f t="shared" si="16"/>
        <v>0</v>
      </c>
      <c r="L154" s="539" t="s">
        <v>114</v>
      </c>
      <c r="M154" s="260"/>
      <c r="N154" s="260"/>
      <c r="O154" s="913">
        <f t="shared" si="15"/>
        <v>0</v>
      </c>
      <c r="P154" s="1056" t="s">
        <v>114</v>
      </c>
      <c r="Q154" s="913">
        <f t="shared" si="15"/>
        <v>0</v>
      </c>
      <c r="R154" s="1066" t="s">
        <v>114</v>
      </c>
      <c r="S154" s="913">
        <f t="shared" si="15"/>
        <v>0</v>
      </c>
      <c r="T154" s="1073" t="s">
        <v>114</v>
      </c>
      <c r="U154" s="913">
        <f t="shared" si="15"/>
        <v>0</v>
      </c>
      <c r="V154" s="1083" t="s">
        <v>114</v>
      </c>
      <c r="W154" s="913">
        <f t="shared" si="15"/>
        <v>0</v>
      </c>
      <c r="X154" s="1091" t="s">
        <v>114</v>
      </c>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52" s="12" customFormat="1" ht="14.4" customHeight="1" x14ac:dyDescent="0.3">
      <c r="A155" s="1"/>
      <c r="B155" s="1"/>
      <c r="C155" s="1"/>
      <c r="D155" s="209"/>
      <c r="E155" s="1"/>
      <c r="F155" s="1"/>
      <c r="G155" s="14"/>
      <c r="H155" s="13" t="s">
        <v>12</v>
      </c>
      <c r="I155" s="13"/>
      <c r="J155" s="909">
        <v>9000</v>
      </c>
      <c r="K155" s="534">
        <f t="shared" si="16"/>
        <v>7.5</v>
      </c>
      <c r="L155" s="535" t="s">
        <v>114</v>
      </c>
      <c r="M155" s="252"/>
      <c r="N155" s="252"/>
      <c r="O155" s="910">
        <f t="shared" si="15"/>
        <v>7.5</v>
      </c>
      <c r="P155" s="1054" t="s">
        <v>114</v>
      </c>
      <c r="Q155" s="910">
        <f t="shared" si="15"/>
        <v>7.5</v>
      </c>
      <c r="R155" s="1064" t="s">
        <v>114</v>
      </c>
      <c r="S155" s="910">
        <f t="shared" si="15"/>
        <v>7.5</v>
      </c>
      <c r="T155" s="1071" t="s">
        <v>114</v>
      </c>
      <c r="U155" s="910">
        <f t="shared" si="15"/>
        <v>7.5</v>
      </c>
      <c r="V155" s="1081" t="s">
        <v>114</v>
      </c>
      <c r="W155" s="910">
        <f t="shared" si="15"/>
        <v>7.5</v>
      </c>
      <c r="X155" s="1089" t="s">
        <v>114</v>
      </c>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1:52" s="12" customFormat="1" ht="14.4" customHeight="1" x14ac:dyDescent="0.3">
      <c r="A156" s="1"/>
      <c r="B156" s="1"/>
      <c r="C156" s="1"/>
      <c r="D156" s="209"/>
      <c r="E156" s="1"/>
      <c r="F156" s="1"/>
      <c r="G156" s="21"/>
      <c r="H156" s="22" t="s">
        <v>21</v>
      </c>
      <c r="I156" s="22"/>
      <c r="J156" s="907">
        <v>2000</v>
      </c>
      <c r="K156" s="536">
        <f t="shared" si="16"/>
        <v>1.6666666666666667</v>
      </c>
      <c r="L156" s="537" t="s">
        <v>114</v>
      </c>
      <c r="M156" s="39"/>
      <c r="N156" s="39"/>
      <c r="O156" s="911">
        <f t="shared" si="15"/>
        <v>1.6666666666666667</v>
      </c>
      <c r="P156" s="1055" t="s">
        <v>114</v>
      </c>
      <c r="Q156" s="911">
        <f t="shared" si="15"/>
        <v>1.6666666666666667</v>
      </c>
      <c r="R156" s="1065" t="s">
        <v>114</v>
      </c>
      <c r="S156" s="911">
        <f t="shared" si="15"/>
        <v>1.6666666666666667</v>
      </c>
      <c r="T156" s="1072" t="s">
        <v>114</v>
      </c>
      <c r="U156" s="911">
        <f t="shared" si="15"/>
        <v>1.6666666666666667</v>
      </c>
      <c r="V156" s="1082" t="s">
        <v>114</v>
      </c>
      <c r="W156" s="911">
        <f t="shared" si="15"/>
        <v>1.6666666666666667</v>
      </c>
      <c r="X156" s="1090" t="s">
        <v>114</v>
      </c>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1:52" s="12" customFormat="1" ht="14.4" customHeight="1" thickBot="1" x14ac:dyDescent="0.35">
      <c r="A157" s="1"/>
      <c r="B157" s="1"/>
      <c r="C157" s="1"/>
      <c r="D157" s="209"/>
      <c r="E157" s="1"/>
      <c r="F157" s="1"/>
      <c r="G157" s="24"/>
      <c r="H157" s="25" t="s">
        <v>22</v>
      </c>
      <c r="I157" s="25"/>
      <c r="J157" s="912">
        <v>0</v>
      </c>
      <c r="K157" s="538">
        <f t="shared" si="16"/>
        <v>0</v>
      </c>
      <c r="L157" s="539" t="s">
        <v>114</v>
      </c>
      <c r="M157" s="260"/>
      <c r="N157" s="260"/>
      <c r="O157" s="913">
        <f t="shared" si="15"/>
        <v>0</v>
      </c>
      <c r="P157" s="1056" t="s">
        <v>114</v>
      </c>
      <c r="Q157" s="913">
        <f t="shared" si="15"/>
        <v>0</v>
      </c>
      <c r="R157" s="1066" t="s">
        <v>114</v>
      </c>
      <c r="S157" s="913">
        <f t="shared" si="15"/>
        <v>0</v>
      </c>
      <c r="T157" s="1073" t="s">
        <v>114</v>
      </c>
      <c r="U157" s="913">
        <f t="shared" si="15"/>
        <v>0</v>
      </c>
      <c r="V157" s="1083" t="s">
        <v>114</v>
      </c>
      <c r="W157" s="913">
        <f t="shared" si="15"/>
        <v>0</v>
      </c>
      <c r="X157" s="1091" t="s">
        <v>114</v>
      </c>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1:52" s="12" customFormat="1" ht="14.4" customHeight="1" x14ac:dyDescent="0.3">
      <c r="A158" s="1"/>
      <c r="B158" s="1"/>
      <c r="C158" s="1"/>
      <c r="D158" s="209"/>
      <c r="E158" s="1"/>
      <c r="F158" s="1"/>
      <c r="G158" s="14"/>
      <c r="H158" s="13" t="s">
        <v>23</v>
      </c>
      <c r="I158" s="13"/>
      <c r="J158" s="909">
        <v>500</v>
      </c>
      <c r="K158" s="534">
        <f t="shared" si="16"/>
        <v>0.41666666666666669</v>
      </c>
      <c r="L158" s="535" t="s">
        <v>114</v>
      </c>
      <c r="M158" s="252"/>
      <c r="N158" s="252"/>
      <c r="O158" s="910">
        <f t="shared" si="15"/>
        <v>0.41666666666666669</v>
      </c>
      <c r="P158" s="1054" t="s">
        <v>114</v>
      </c>
      <c r="Q158" s="910">
        <f t="shared" si="15"/>
        <v>0.41666666666666669</v>
      </c>
      <c r="R158" s="1064" t="s">
        <v>114</v>
      </c>
      <c r="S158" s="910">
        <f t="shared" si="15"/>
        <v>0.41666666666666669</v>
      </c>
      <c r="T158" s="1071" t="s">
        <v>114</v>
      </c>
      <c r="U158" s="910">
        <f t="shared" si="15"/>
        <v>0.41666666666666669</v>
      </c>
      <c r="V158" s="1081" t="s">
        <v>114</v>
      </c>
      <c r="W158" s="910">
        <f t="shared" si="15"/>
        <v>0.41666666666666669</v>
      </c>
      <c r="X158" s="1089" t="s">
        <v>114</v>
      </c>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1:52" s="12" customFormat="1" ht="14.4" customHeight="1" x14ac:dyDescent="0.3">
      <c r="A159" s="1"/>
      <c r="B159" s="1"/>
      <c r="C159" s="1"/>
      <c r="D159" s="209"/>
      <c r="E159" s="1"/>
      <c r="F159" s="1"/>
      <c r="G159" s="21" t="s">
        <v>26</v>
      </c>
      <c r="H159" s="22"/>
      <c r="I159" s="22"/>
      <c r="J159" s="907">
        <v>0</v>
      </c>
      <c r="K159" s="536">
        <f t="shared" si="16"/>
        <v>0</v>
      </c>
      <c r="L159" s="537" t="s">
        <v>114</v>
      </c>
      <c r="M159" s="39"/>
      <c r="N159" s="39"/>
      <c r="O159" s="911">
        <f t="shared" si="15"/>
        <v>0</v>
      </c>
      <c r="P159" s="1055" t="s">
        <v>114</v>
      </c>
      <c r="Q159" s="911">
        <f t="shared" si="15"/>
        <v>0</v>
      </c>
      <c r="R159" s="1065" t="s">
        <v>114</v>
      </c>
      <c r="S159" s="911">
        <f t="shared" si="15"/>
        <v>0</v>
      </c>
      <c r="T159" s="1072" t="s">
        <v>114</v>
      </c>
      <c r="U159" s="911">
        <f t="shared" si="15"/>
        <v>0</v>
      </c>
      <c r="V159" s="1082" t="s">
        <v>114</v>
      </c>
      <c r="W159" s="911">
        <f t="shared" si="15"/>
        <v>0</v>
      </c>
      <c r="X159" s="1090" t="s">
        <v>114</v>
      </c>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1:52" s="12" customFormat="1" ht="14.4" customHeight="1" thickBot="1" x14ac:dyDescent="0.35">
      <c r="A160" s="1"/>
      <c r="B160" s="1"/>
      <c r="C160" s="1"/>
      <c r="D160" s="209"/>
      <c r="E160" s="1"/>
      <c r="F160" s="1"/>
      <c r="G160" s="24"/>
      <c r="H160" s="25" t="s">
        <v>289</v>
      </c>
      <c r="I160" s="25"/>
      <c r="J160" s="912">
        <v>1500</v>
      </c>
      <c r="K160" s="538">
        <f t="shared" si="16"/>
        <v>1.25</v>
      </c>
      <c r="L160" s="539" t="s">
        <v>114</v>
      </c>
      <c r="M160" s="260"/>
      <c r="N160" s="260"/>
      <c r="O160" s="913">
        <f t="shared" si="15"/>
        <v>1.25</v>
      </c>
      <c r="P160" s="1056" t="s">
        <v>114</v>
      </c>
      <c r="Q160" s="913">
        <f t="shared" si="15"/>
        <v>1.25</v>
      </c>
      <c r="R160" s="1066" t="s">
        <v>114</v>
      </c>
      <c r="S160" s="913">
        <f t="shared" si="15"/>
        <v>1.25</v>
      </c>
      <c r="T160" s="1073" t="s">
        <v>114</v>
      </c>
      <c r="U160" s="913">
        <f t="shared" si="15"/>
        <v>1.25</v>
      </c>
      <c r="V160" s="1083" t="s">
        <v>114</v>
      </c>
      <c r="W160" s="913">
        <f t="shared" si="15"/>
        <v>1.25</v>
      </c>
      <c r="X160" s="1091" t="s">
        <v>114</v>
      </c>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52" s="12" customFormat="1" ht="14.4" customHeight="1" x14ac:dyDescent="0.3">
      <c r="A161" s="1"/>
      <c r="B161" s="1"/>
      <c r="C161" s="1"/>
      <c r="D161" s="209"/>
      <c r="E161" s="1"/>
      <c r="F161" s="1"/>
      <c r="G161" s="14"/>
      <c r="H161" s="13" t="s">
        <v>287</v>
      </c>
      <c r="I161" s="13"/>
      <c r="J161" s="909">
        <v>22000</v>
      </c>
      <c r="K161" s="534">
        <f t="shared" si="16"/>
        <v>18.333333333333332</v>
      </c>
      <c r="L161" s="535" t="s">
        <v>114</v>
      </c>
      <c r="M161" s="252"/>
      <c r="N161" s="252"/>
      <c r="O161" s="910">
        <f t="shared" si="15"/>
        <v>18.333333333333332</v>
      </c>
      <c r="P161" s="1054" t="s">
        <v>114</v>
      </c>
      <c r="Q161" s="910">
        <f t="shared" si="15"/>
        <v>18.333333333333332</v>
      </c>
      <c r="R161" s="1064" t="s">
        <v>114</v>
      </c>
      <c r="S161" s="910">
        <f t="shared" si="15"/>
        <v>18.333333333333332</v>
      </c>
      <c r="T161" s="1071" t="s">
        <v>114</v>
      </c>
      <c r="U161" s="910">
        <f t="shared" si="15"/>
        <v>18.333333333333332</v>
      </c>
      <c r="V161" s="1081" t="s">
        <v>114</v>
      </c>
      <c r="W161" s="910">
        <f t="shared" si="15"/>
        <v>18.333333333333332</v>
      </c>
      <c r="X161" s="1089" t="s">
        <v>114</v>
      </c>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1:52" s="12" customFormat="1" ht="14.4" customHeight="1" x14ac:dyDescent="0.3">
      <c r="A162" s="1"/>
      <c r="B162" s="1"/>
      <c r="C162" s="1"/>
      <c r="D162" s="209"/>
      <c r="E162" s="214"/>
      <c r="F162" s="1"/>
      <c r="G162" s="21" t="s">
        <v>179</v>
      </c>
      <c r="H162" s="22"/>
      <c r="I162" s="22"/>
      <c r="J162" s="22"/>
      <c r="K162" s="536">
        <f>L162*J136</f>
        <v>135</v>
      </c>
      <c r="L162" s="914">
        <v>0.45</v>
      </c>
      <c r="M162" s="39"/>
      <c r="N162" s="39"/>
      <c r="O162" s="465">
        <f>P162*$J136</f>
        <v>135</v>
      </c>
      <c r="P162" s="1057">
        <v>0.45</v>
      </c>
      <c r="Q162" s="478">
        <f>R162*$J136</f>
        <v>135</v>
      </c>
      <c r="R162" s="1057">
        <f>L162</f>
        <v>0.45</v>
      </c>
      <c r="S162" s="488">
        <f>T162*$J136</f>
        <v>135</v>
      </c>
      <c r="T162" s="1057">
        <f>L162</f>
        <v>0.45</v>
      </c>
      <c r="U162" s="498">
        <f>V162*$J136</f>
        <v>135</v>
      </c>
      <c r="V162" s="1057">
        <f>L162</f>
        <v>0.45</v>
      </c>
      <c r="W162" s="504">
        <f>X162*$J136</f>
        <v>135</v>
      </c>
      <c r="X162" s="1092">
        <f>L162</f>
        <v>0.45</v>
      </c>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1:52" s="12" customFormat="1" ht="14.4" customHeight="1" thickBot="1" x14ac:dyDescent="0.35">
      <c r="A163" s="1"/>
      <c r="B163" s="1"/>
      <c r="C163" s="1"/>
      <c r="D163" s="349"/>
      <c r="E163" s="1"/>
      <c r="F163" s="1"/>
      <c r="G163" s="1304" t="s">
        <v>74</v>
      </c>
      <c r="H163" s="1305"/>
      <c r="I163" s="1306"/>
      <c r="J163" s="915">
        <v>20000</v>
      </c>
      <c r="K163" s="540">
        <f>J163/K$58</f>
        <v>16.666666666666668</v>
      </c>
      <c r="L163" s="537" t="s">
        <v>114</v>
      </c>
      <c r="M163" s="39"/>
      <c r="N163" s="39"/>
      <c r="O163" s="916">
        <f t="shared" si="15"/>
        <v>16.666666666666668</v>
      </c>
      <c r="P163" s="1055" t="s">
        <v>114</v>
      </c>
      <c r="Q163" s="916">
        <f t="shared" si="15"/>
        <v>16.666666666666668</v>
      </c>
      <c r="R163" s="1065" t="s">
        <v>114</v>
      </c>
      <c r="S163" s="916">
        <f t="shared" si="15"/>
        <v>16.666666666666668</v>
      </c>
      <c r="T163" s="1072" t="s">
        <v>114</v>
      </c>
      <c r="U163" s="916">
        <f t="shared" si="15"/>
        <v>16.666666666666668</v>
      </c>
      <c r="V163" s="1082" t="s">
        <v>114</v>
      </c>
      <c r="W163" s="916">
        <f t="shared" si="15"/>
        <v>16.666666666666668</v>
      </c>
      <c r="X163" s="1090" t="s">
        <v>114</v>
      </c>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1:52" s="12" customFormat="1" ht="14.4" customHeight="1" thickBot="1" x14ac:dyDescent="0.35">
      <c r="A164" s="1"/>
      <c r="B164" s="1"/>
      <c r="C164" s="1"/>
      <c r="D164" s="349"/>
      <c r="E164" s="1"/>
      <c r="F164" s="1"/>
      <c r="G164" s="1297" t="s">
        <v>181</v>
      </c>
      <c r="H164" s="1298"/>
      <c r="I164" s="1299"/>
      <c r="J164" s="917"/>
      <c r="K164" s="541">
        <f>J164/K$58</f>
        <v>0</v>
      </c>
      <c r="L164" s="535" t="s">
        <v>114</v>
      </c>
      <c r="M164" s="252"/>
      <c r="N164" s="252"/>
      <c r="O164" s="918">
        <f t="shared" si="15"/>
        <v>0</v>
      </c>
      <c r="P164" s="1054" t="s">
        <v>114</v>
      </c>
      <c r="Q164" s="918">
        <f t="shared" si="15"/>
        <v>0</v>
      </c>
      <c r="R164" s="1064" t="s">
        <v>114</v>
      </c>
      <c r="S164" s="918">
        <f t="shared" si="15"/>
        <v>0</v>
      </c>
      <c r="T164" s="1071" t="s">
        <v>114</v>
      </c>
      <c r="U164" s="918">
        <f t="shared" si="15"/>
        <v>0</v>
      </c>
      <c r="V164" s="1081" t="s">
        <v>114</v>
      </c>
      <c r="W164" s="918">
        <f t="shared" si="15"/>
        <v>0</v>
      </c>
      <c r="X164" s="1089" t="s">
        <v>114</v>
      </c>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1:52" s="12" customFormat="1" ht="14.4" customHeight="1" thickBot="1" x14ac:dyDescent="0.35">
      <c r="A165" s="1"/>
      <c r="B165" s="1"/>
      <c r="C165" s="1"/>
      <c r="D165" s="209"/>
      <c r="E165" s="1"/>
      <c r="F165" s="1"/>
      <c r="G165" s="295"/>
      <c r="H165" s="352"/>
      <c r="I165" s="352"/>
      <c r="J165" s="334" t="s">
        <v>286</v>
      </c>
      <c r="K165" s="333">
        <f>SUM(K149:K164)</f>
        <v>248.75</v>
      </c>
      <c r="L165" s="542" t="s">
        <v>114</v>
      </c>
      <c r="M165" s="334"/>
      <c r="N165" s="334"/>
      <c r="O165" s="469">
        <f>SUM(O149:O164)</f>
        <v>248.75</v>
      </c>
      <c r="P165" s="1058" t="s">
        <v>114</v>
      </c>
      <c r="Q165" s="479">
        <f>SUM(Q149:Q164)</f>
        <v>248.75</v>
      </c>
      <c r="R165" s="1067" t="s">
        <v>114</v>
      </c>
      <c r="S165" s="489">
        <f>SUM(S149:S164)</f>
        <v>248.75</v>
      </c>
      <c r="T165" s="1074" t="s">
        <v>114</v>
      </c>
      <c r="U165" s="499">
        <f>SUM(U149:U164)</f>
        <v>248.75</v>
      </c>
      <c r="V165" s="1084" t="s">
        <v>114</v>
      </c>
      <c r="W165" s="505">
        <f>SUM(W149:W164)</f>
        <v>248.75</v>
      </c>
      <c r="X165" s="1093" t="s">
        <v>114</v>
      </c>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1:52" s="12" customFormat="1" ht="14.4" customHeight="1" thickBot="1" x14ac:dyDescent="0.35">
      <c r="A166" s="1"/>
      <c r="B166" s="1"/>
      <c r="C166" s="1"/>
      <c r="D166" s="209"/>
      <c r="E166" s="1"/>
      <c r="F166" s="1"/>
      <c r="G166" s="295"/>
      <c r="H166" s="352"/>
      <c r="I166" s="1133"/>
      <c r="J166" s="1134" t="s">
        <v>45</v>
      </c>
      <c r="K166" s="555">
        <f>K165*K74</f>
        <v>263687.89337282482</v>
      </c>
      <c r="L166" s="1135"/>
      <c r="M166" s="334"/>
      <c r="N166" s="334"/>
      <c r="O166" s="1136">
        <f>O165*AK98</f>
        <v>263687.89337282488</v>
      </c>
      <c r="P166" s="1058"/>
      <c r="Q166" s="1137">
        <f>Q165*AM98</f>
        <v>263687.89337282488</v>
      </c>
      <c r="R166" s="1067"/>
      <c r="S166" s="1138">
        <f>S165*AO98</f>
        <v>263687.89337282488</v>
      </c>
      <c r="T166" s="1074"/>
      <c r="U166" s="1139">
        <f>U165*AQ98</f>
        <v>263687.89337282488</v>
      </c>
      <c r="V166" s="1140"/>
      <c r="W166" s="1141">
        <f>W165*AS98</f>
        <v>263687.89337282488</v>
      </c>
      <c r="X166" s="1142"/>
      <c r="Y166" s="40"/>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1:52" s="12" customFormat="1" ht="14.4" customHeight="1" thickBot="1" x14ac:dyDescent="0.35">
      <c r="A167" s="1"/>
      <c r="B167" s="1"/>
      <c r="C167" s="1"/>
      <c r="D167" s="209"/>
      <c r="E167" s="1"/>
      <c r="F167" s="1"/>
      <c r="G167" s="1"/>
      <c r="H167" s="1"/>
      <c r="I167" s="2"/>
      <c r="J167" s="1143" t="s">
        <v>280</v>
      </c>
      <c r="K167" s="1144">
        <f>K166/K61</f>
        <v>9.1558296310008611</v>
      </c>
      <c r="L167" s="1145">
        <f>K167/K182</f>
        <v>0.51942969132348227</v>
      </c>
      <c r="M167" s="1146"/>
      <c r="N167" s="1146"/>
      <c r="O167" s="1147">
        <f>O166/O61</f>
        <v>9.1558296310008647</v>
      </c>
      <c r="P167" s="1148">
        <f>O167/O181</f>
        <v>0.50617579339122409</v>
      </c>
      <c r="Q167" s="1147">
        <f>Q166/Q61</f>
        <v>9.1558296310008647</v>
      </c>
      <c r="R167" s="1148">
        <f>Q167/Q181</f>
        <v>0.49764499499372744</v>
      </c>
      <c r="S167" s="1147">
        <f>S166/S61</f>
        <v>9.1558296310008647</v>
      </c>
      <c r="T167" s="1148">
        <f>S167/S181</f>
        <v>0.49624046981622066</v>
      </c>
      <c r="U167" s="1147">
        <f>U166/U61</f>
        <v>9.1558296310008647</v>
      </c>
      <c r="V167" s="1149">
        <f>U167/U181</f>
        <v>0.49175470868419985</v>
      </c>
      <c r="W167" s="1150">
        <f>W166/W61</f>
        <v>9.1558296310008647</v>
      </c>
      <c r="X167" s="1151">
        <f>W167/W181</f>
        <v>0.47103054824039042</v>
      </c>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1:52" s="12" customFormat="1" ht="14.4" customHeight="1" thickBot="1" x14ac:dyDescent="0.35">
      <c r="A168" s="1"/>
      <c r="B168" s="42" t="s">
        <v>230</v>
      </c>
      <c r="C168" s="1"/>
      <c r="D168" s="209"/>
      <c r="E168" s="1"/>
      <c r="F168" s="1"/>
      <c r="G168" s="1"/>
      <c r="H168" s="1"/>
      <c r="I168" s="1"/>
      <c r="J168" s="1152" t="s">
        <v>37</v>
      </c>
      <c r="K168" s="530" t="str">
        <f>K55</f>
        <v>Existing Production System</v>
      </c>
      <c r="L168" s="530"/>
      <c r="M168" s="530"/>
      <c r="N168" s="1134"/>
      <c r="O168" s="1181" t="str">
        <f>O104</f>
        <v>1. Floor Feeding</v>
      </c>
      <c r="P168" s="1182"/>
      <c r="Q168" s="1183" t="str">
        <f>Q104</f>
        <v xml:space="preserve">2. Short Stalls </v>
      </c>
      <c r="R168" s="1184"/>
      <c r="S168" s="1185" t="str">
        <f>S104</f>
        <v>3. Trickle Feeding</v>
      </c>
      <c r="T168" s="1186"/>
      <c r="U168" s="1187" t="str">
        <f>U104</f>
        <v>4. Elec Sow Feeding</v>
      </c>
      <c r="V168" s="1188"/>
      <c r="W168" s="1189" t="str">
        <f>W104</f>
        <v>5. Free Access Stalls</v>
      </c>
      <c r="X168" s="1190"/>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1:52" s="12" customFormat="1" ht="14.4" customHeight="1" thickBot="1" x14ac:dyDescent="0.35">
      <c r="A169" s="1"/>
      <c r="B169" s="1"/>
      <c r="C169" s="1"/>
      <c r="D169" s="209"/>
      <c r="E169" s="1"/>
      <c r="F169" s="1"/>
      <c r="G169" s="1"/>
      <c r="H169" s="1"/>
      <c r="I169" s="1210"/>
      <c r="J169" s="358" t="s">
        <v>284</v>
      </c>
      <c r="K169" s="382">
        <f>(I29+I32)*I27</f>
        <v>322.43243243243245</v>
      </c>
      <c r="L169" s="557" t="s">
        <v>213</v>
      </c>
      <c r="M169" s="252"/>
      <c r="N169" s="252"/>
      <c r="O169" s="395">
        <f>(AI29+AI32)*AI27</f>
        <v>322.43243243243245</v>
      </c>
      <c r="P169" s="807" t="s">
        <v>213</v>
      </c>
      <c r="Q169" s="403">
        <f>(AK29+AK32)*AK27</f>
        <v>322.43243243243245</v>
      </c>
      <c r="R169" s="809" t="s">
        <v>213</v>
      </c>
      <c r="S169" s="417">
        <f>(AM29+AM32)*AM27</f>
        <v>322.43243243243245</v>
      </c>
      <c r="T169" s="805" t="s">
        <v>213</v>
      </c>
      <c r="U169" s="430">
        <f>(AO29+AO32)*AO27</f>
        <v>322.43243243243245</v>
      </c>
      <c r="V169" s="813" t="s">
        <v>213</v>
      </c>
      <c r="W169" s="441">
        <f>(AQ29+AQ32)*AQ27</f>
        <v>322.43243243243245</v>
      </c>
      <c r="X169" s="816" t="s">
        <v>213</v>
      </c>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1:52" s="12" customFormat="1" ht="14.4" customHeight="1" x14ac:dyDescent="0.3">
      <c r="A170" s="1282" t="s">
        <v>240</v>
      </c>
      <c r="B170" s="1283"/>
      <c r="C170" s="1"/>
      <c r="D170" s="1"/>
      <c r="E170" s="1"/>
      <c r="F170" s="1"/>
      <c r="G170" s="1"/>
      <c r="H170" s="1"/>
      <c r="I170" s="1209"/>
      <c r="J170" s="380" t="s">
        <v>222</v>
      </c>
      <c r="K170" s="919">
        <v>5</v>
      </c>
      <c r="L170" s="551" t="s">
        <v>43</v>
      </c>
      <c r="M170" s="378"/>
      <c r="N170" s="39"/>
      <c r="O170" s="919">
        <f>K170</f>
        <v>5</v>
      </c>
      <c r="P170" s="799" t="s">
        <v>43</v>
      </c>
      <c r="Q170" s="919">
        <f>K170</f>
        <v>5</v>
      </c>
      <c r="R170" s="800" t="s">
        <v>43</v>
      </c>
      <c r="S170" s="919">
        <f>K170</f>
        <v>5</v>
      </c>
      <c r="T170" s="801" t="s">
        <v>43</v>
      </c>
      <c r="U170" s="919">
        <v>5</v>
      </c>
      <c r="V170" s="803" t="s">
        <v>43</v>
      </c>
      <c r="W170" s="919">
        <f>K170</f>
        <v>5</v>
      </c>
      <c r="X170" s="804" t="s">
        <v>43</v>
      </c>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1:52" s="12" customFormat="1" ht="14.4" customHeight="1" thickBot="1" x14ac:dyDescent="0.35">
      <c r="A171" s="1284" t="s">
        <v>250</v>
      </c>
      <c r="B171" s="1285"/>
      <c r="C171" s="1285"/>
      <c r="D171" s="1286"/>
      <c r="E171" s="1"/>
      <c r="F171" s="1"/>
      <c r="G171" s="1"/>
      <c r="H171" s="1"/>
      <c r="I171" s="360"/>
      <c r="J171" s="381" t="s">
        <v>82</v>
      </c>
      <c r="K171" s="386">
        <f>K169*K170</f>
        <v>1612.1621621621623</v>
      </c>
      <c r="L171" s="552" t="s">
        <v>43</v>
      </c>
      <c r="M171" s="361"/>
      <c r="N171" s="361"/>
      <c r="O171" s="397">
        <f>O170*O169</f>
        <v>1612.1621621621623</v>
      </c>
      <c r="P171" s="398" t="s">
        <v>43</v>
      </c>
      <c r="Q171" s="406">
        <f>Q170*Q169</f>
        <v>1612.1621621621623</v>
      </c>
      <c r="R171" s="407" t="s">
        <v>43</v>
      </c>
      <c r="S171" s="419">
        <f>S170*S169</f>
        <v>1612.1621621621623</v>
      </c>
      <c r="T171" s="802" t="s">
        <v>43</v>
      </c>
      <c r="U171" s="431">
        <f>U170*U169</f>
        <v>1612.1621621621623</v>
      </c>
      <c r="V171" s="432" t="s">
        <v>43</v>
      </c>
      <c r="W171" s="442">
        <f>W170*W169</f>
        <v>1612.1621621621623</v>
      </c>
      <c r="X171" s="362" t="s">
        <v>43</v>
      </c>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1:52" s="12" customFormat="1" ht="14.4" customHeight="1" x14ac:dyDescent="0.3">
      <c r="A172" s="1"/>
      <c r="B172" s="1"/>
      <c r="C172" s="1"/>
      <c r="D172" s="209"/>
      <c r="E172" s="1"/>
      <c r="F172" s="1"/>
      <c r="G172" s="1"/>
      <c r="H172" s="1"/>
      <c r="I172" s="357"/>
      <c r="J172" s="545" t="s">
        <v>35</v>
      </c>
      <c r="K172" s="920">
        <v>7.4999999999999997E-2</v>
      </c>
      <c r="L172" s="557" t="s">
        <v>236</v>
      </c>
      <c r="M172" s="378"/>
      <c r="N172" s="378"/>
      <c r="O172" s="920">
        <v>0.1</v>
      </c>
      <c r="P172" s="808" t="s">
        <v>236</v>
      </c>
      <c r="Q172" s="920">
        <v>7.4999999999999997E-2</v>
      </c>
      <c r="R172" s="810" t="s">
        <v>236</v>
      </c>
      <c r="S172" s="920">
        <v>7.4999999999999997E-2</v>
      </c>
      <c r="T172" s="806" t="s">
        <v>236</v>
      </c>
      <c r="U172" s="920">
        <v>0.03</v>
      </c>
      <c r="V172" s="814" t="s">
        <v>236</v>
      </c>
      <c r="W172" s="920">
        <v>7.4999999999999997E-2</v>
      </c>
      <c r="X172" s="817" t="s">
        <v>236</v>
      </c>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1:52" s="12" customFormat="1" ht="14.4" customHeight="1" x14ac:dyDescent="0.3">
      <c r="A173" s="1"/>
      <c r="B173" s="1"/>
      <c r="C173" s="1"/>
      <c r="D173" s="209"/>
      <c r="E173" s="1"/>
      <c r="F173" s="1"/>
      <c r="G173" s="1"/>
      <c r="H173" s="1"/>
      <c r="I173" s="359"/>
      <c r="J173" s="546" t="s">
        <v>38</v>
      </c>
      <c r="K173" s="550">
        <f>K171*(1+K172)</f>
        <v>1733.0743243243244</v>
      </c>
      <c r="L173" s="551" t="s">
        <v>43</v>
      </c>
      <c r="M173" s="363"/>
      <c r="N173" s="363"/>
      <c r="O173" s="390">
        <f>O171*(1+O172)</f>
        <v>1773.3783783783788</v>
      </c>
      <c r="P173" s="391" t="s">
        <v>43</v>
      </c>
      <c r="Q173" s="409">
        <f>Q171*(1+Q172)</f>
        <v>1733.0743243243244</v>
      </c>
      <c r="R173" s="410" t="s">
        <v>43</v>
      </c>
      <c r="S173" s="422">
        <f>S171*(1+S172)</f>
        <v>1733.0743243243244</v>
      </c>
      <c r="T173" s="423" t="s">
        <v>43</v>
      </c>
      <c r="U173" s="433">
        <f>U171*(1+U172)</f>
        <v>1660.5270270270273</v>
      </c>
      <c r="V173" s="434" t="s">
        <v>43</v>
      </c>
      <c r="W173" s="443">
        <f>W171*(1+W172)</f>
        <v>1733.0743243243244</v>
      </c>
      <c r="X173" s="364" t="s">
        <v>43</v>
      </c>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1:52" s="12" customFormat="1" ht="14.4" customHeight="1" thickBot="1" x14ac:dyDescent="0.35">
      <c r="A174" s="1"/>
      <c r="B174" s="1"/>
      <c r="C174" s="1"/>
      <c r="D174" s="209"/>
      <c r="E174" s="1"/>
      <c r="F174" s="1"/>
      <c r="G174" s="1"/>
      <c r="H174" s="1"/>
      <c r="I174" s="360"/>
      <c r="J174" s="547" t="s">
        <v>285</v>
      </c>
      <c r="K174" s="325">
        <f>K173*$I53</f>
        <v>190.63817567567568</v>
      </c>
      <c r="L174" s="552" t="s">
        <v>114</v>
      </c>
      <c r="M174" s="378"/>
      <c r="N174" s="378"/>
      <c r="O174" s="392">
        <f>O173*$I53</f>
        <v>195.07162162162166</v>
      </c>
      <c r="P174" s="393" t="s">
        <v>114</v>
      </c>
      <c r="Q174" s="411">
        <f>Q173*$I53</f>
        <v>190.63817567567568</v>
      </c>
      <c r="R174" s="412" t="s">
        <v>114</v>
      </c>
      <c r="S174" s="424">
        <f>S173*$I53</f>
        <v>190.63817567567568</v>
      </c>
      <c r="T174" s="425" t="s">
        <v>114</v>
      </c>
      <c r="U174" s="435">
        <f>U173*$I53</f>
        <v>182.657972972973</v>
      </c>
      <c r="V174" s="436" t="s">
        <v>114</v>
      </c>
      <c r="W174" s="444">
        <f>W173*$I53</f>
        <v>190.63817567567568</v>
      </c>
      <c r="X174" s="365" t="s">
        <v>114</v>
      </c>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1:52" s="12" customFormat="1" ht="14.4" customHeight="1" thickBot="1" x14ac:dyDescent="0.35">
      <c r="A175" s="1"/>
      <c r="B175" s="1"/>
      <c r="C175" s="1"/>
      <c r="D175" s="209"/>
      <c r="E175" s="1"/>
      <c r="F175" s="1"/>
      <c r="G175" s="1"/>
      <c r="H175" s="1"/>
      <c r="I175" s="1"/>
      <c r="J175" s="548" t="s">
        <v>283</v>
      </c>
      <c r="K175" s="553">
        <f>K173*K74/2000</f>
        <v>918.57430681329208</v>
      </c>
      <c r="L175" s="554" t="s">
        <v>131</v>
      </c>
      <c r="M175" s="367"/>
      <c r="N175" s="367"/>
      <c r="O175" s="399">
        <f>O173*AK98/2000</f>
        <v>939.93649999499701</v>
      </c>
      <c r="P175" s="400" t="s">
        <v>131</v>
      </c>
      <c r="Q175" s="413">
        <f>Q173*AM98/2000</f>
        <v>918.57430681329231</v>
      </c>
      <c r="R175" s="414" t="s">
        <v>131</v>
      </c>
      <c r="S175" s="426">
        <f>S173*AO98/2000</f>
        <v>918.57430681329231</v>
      </c>
      <c r="T175" s="427" t="s">
        <v>131</v>
      </c>
      <c r="U175" s="437">
        <f>U173*AQ98/2000</f>
        <v>880.12235908622449</v>
      </c>
      <c r="V175" s="438" t="s">
        <v>131</v>
      </c>
      <c r="W175" s="445">
        <f>W173*AS98/2000</f>
        <v>918.57430681329231</v>
      </c>
      <c r="X175" s="368" t="s">
        <v>131</v>
      </c>
      <c r="Y175" s="40"/>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1:52" s="12" customFormat="1" ht="14.4" customHeight="1" thickBot="1" x14ac:dyDescent="0.35">
      <c r="A176" s="1"/>
      <c r="B176" s="1"/>
      <c r="C176" s="1"/>
      <c r="D176" s="1"/>
      <c r="E176" s="1"/>
      <c r="F176" s="1"/>
      <c r="G176" s="1"/>
      <c r="H176" s="1"/>
      <c r="I176" s="1"/>
      <c r="J176" s="943" t="s">
        <v>46</v>
      </c>
      <c r="K176" s="942">
        <f>K175*I53*2000</f>
        <v>202086.34749892427</v>
      </c>
      <c r="L176" s="554"/>
      <c r="M176" s="334"/>
      <c r="N176" s="334"/>
      <c r="O176" s="947">
        <f>O175*$I53*2000</f>
        <v>206786.02999889935</v>
      </c>
      <c r="P176" s="948"/>
      <c r="Q176" s="949">
        <f>Q175*$I53*2000</f>
        <v>202086.34749892433</v>
      </c>
      <c r="R176" s="950"/>
      <c r="S176" s="951">
        <f>S175*$I53*2000</f>
        <v>202086.34749892433</v>
      </c>
      <c r="T176" s="952"/>
      <c r="U176" s="953">
        <f>U175*$I53*2000</f>
        <v>193626.9189989694</v>
      </c>
      <c r="V176" s="954"/>
      <c r="W176" s="955">
        <f>W175*$I53*2000</f>
        <v>202086.34749892433</v>
      </c>
      <c r="X176" s="956"/>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1:52" s="12" customFormat="1" ht="14.4" customHeight="1" thickBot="1" x14ac:dyDescent="0.35">
      <c r="A177" s="1"/>
      <c r="B177" s="1"/>
      <c r="C177" s="1"/>
      <c r="D177" s="1"/>
      <c r="E177" s="1"/>
      <c r="F177" s="1"/>
      <c r="G177" s="1"/>
      <c r="H177" s="1"/>
      <c r="I177" s="1"/>
      <c r="J177" s="944" t="s">
        <v>280</v>
      </c>
      <c r="K177" s="1204">
        <f>K176/K61</f>
        <v>7.0168870659348705</v>
      </c>
      <c r="L177" s="1205">
        <f>K177/K182</f>
        <v>0.39808292963090658</v>
      </c>
      <c r="M177" s="38"/>
      <c r="N177" s="39"/>
      <c r="O177" s="945">
        <f>O176/O61</f>
        <v>7.1800704860728937</v>
      </c>
      <c r="P177" s="1059">
        <f>O177/O181</f>
        <v>0.39694686569823923</v>
      </c>
      <c r="Q177" s="945">
        <f>Q176/Q61</f>
        <v>7.0168870659348723</v>
      </c>
      <c r="R177" s="1059">
        <f>Q177/Q181</f>
        <v>0.3813874732853666</v>
      </c>
      <c r="S177" s="945">
        <f>S176/S61</f>
        <v>7.0168870659348723</v>
      </c>
      <c r="T177" s="1059">
        <f>S177/S181</f>
        <v>0.38031106678273169</v>
      </c>
      <c r="U177" s="945">
        <f>U176/U61</f>
        <v>6.7231569096864376</v>
      </c>
      <c r="V177" s="1059">
        <f>U177/U181</f>
        <v>0.36109715894742023</v>
      </c>
      <c r="W177" s="945">
        <f>W176/W61</f>
        <v>7.0168870659348723</v>
      </c>
      <c r="X177" s="1059">
        <f>W177/W181</f>
        <v>0.36099057046858846</v>
      </c>
      <c r="Y177" s="38"/>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1:52" s="12" customFormat="1" ht="14.4" customHeight="1" thickBot="1" x14ac:dyDescent="0.35">
      <c r="A178" s="1"/>
      <c r="B178" s="42" t="s">
        <v>231</v>
      </c>
      <c r="C178" s="1"/>
      <c r="D178" s="1"/>
      <c r="E178" s="1"/>
      <c r="F178" s="1"/>
      <c r="G178" s="1"/>
      <c r="H178" s="1"/>
      <c r="I178" s="1"/>
      <c r="J178" s="38"/>
      <c r="K178" s="530" t="str">
        <f>K168</f>
        <v>Existing Production System</v>
      </c>
      <c r="L178" s="530"/>
      <c r="M178" s="531"/>
      <c r="N178" s="370"/>
      <c r="O178" s="1181" t="str">
        <f>O168</f>
        <v>1. Floor Feeding</v>
      </c>
      <c r="P178" s="1182"/>
      <c r="Q178" s="1183" t="str">
        <f>Q168</f>
        <v xml:space="preserve">2. Short Stalls </v>
      </c>
      <c r="R178" s="1184"/>
      <c r="S178" s="1185" t="str">
        <f>S168</f>
        <v>3. Trickle Feeding</v>
      </c>
      <c r="T178" s="1186"/>
      <c r="U178" s="1187" t="str">
        <f>U168</f>
        <v>4. Elec Sow Feeding</v>
      </c>
      <c r="V178" s="1188"/>
      <c r="W178" s="1189" t="str">
        <f>W168</f>
        <v>5. Free Access Stalls</v>
      </c>
      <c r="X178" s="1190"/>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1:52" s="12" customFormat="1" ht="14.4" customHeight="1" x14ac:dyDescent="0.3">
      <c r="A179" s="1"/>
      <c r="B179" s="1"/>
      <c r="C179" s="1"/>
      <c r="D179" s="1"/>
      <c r="G179" s="939"/>
      <c r="H179" s="940">
        <f>K176+K166+K145</f>
        <v>507648.86524095404</v>
      </c>
      <c r="J179" s="966"/>
      <c r="K179" s="1206"/>
      <c r="L179" s="1207"/>
      <c r="M179" s="1208"/>
      <c r="N179" s="1096" t="s">
        <v>290</v>
      </c>
      <c r="O179" s="447">
        <f>O176+O166+O145</f>
        <v>520941.3346422516</v>
      </c>
      <c r="P179" s="709"/>
      <c r="Q179" s="449">
        <f>Q176+Q166+Q145</f>
        <v>529871.48675362149</v>
      </c>
      <c r="R179" s="1068"/>
      <c r="S179" s="451">
        <f>S176+S166+S145</f>
        <v>531371.19886751671</v>
      </c>
      <c r="T179" s="1075"/>
      <c r="U179" s="453">
        <f>U176+U166+U145</f>
        <v>536218.33958312485</v>
      </c>
      <c r="V179" s="1085"/>
      <c r="W179" s="455">
        <f>W176+W166+W145</f>
        <v>559810.59903200122</v>
      </c>
      <c r="X179" s="1094"/>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1:52" s="12" customFormat="1" ht="14.4" customHeight="1" thickBot="1" x14ac:dyDescent="0.35">
      <c r="A180" s="1282" t="s">
        <v>240</v>
      </c>
      <c r="B180" s="1283"/>
      <c r="C180" s="1"/>
      <c r="D180" s="1"/>
      <c r="G180" s="939"/>
      <c r="H180" s="940">
        <f>H179/K58</f>
        <v>423.04072103412835</v>
      </c>
      <c r="J180" s="966"/>
      <c r="K180" s="966"/>
      <c r="L180" s="969"/>
      <c r="M180" s="970"/>
      <c r="N180" s="1096" t="s">
        <v>278</v>
      </c>
      <c r="O180" s="448">
        <f>O179/AK98</f>
        <v>491.43005897901708</v>
      </c>
      <c r="P180" s="1097" t="s">
        <v>114</v>
      </c>
      <c r="Q180" s="450">
        <f>Q179/AM98</f>
        <v>499.85431884658135</v>
      </c>
      <c r="R180" s="927" t="s">
        <v>114</v>
      </c>
      <c r="S180" s="452">
        <f>S179/AO98</f>
        <v>501.26907241588526</v>
      </c>
      <c r="T180" s="928" t="s">
        <v>114</v>
      </c>
      <c r="U180" s="454">
        <f>U179/AQ98</f>
        <v>505.84162308396907</v>
      </c>
      <c r="V180" s="929" t="s">
        <v>114</v>
      </c>
      <c r="W180" s="456">
        <f>W179/AS98</f>
        <v>528.09738334221686</v>
      </c>
      <c r="X180" s="930" t="s">
        <v>114</v>
      </c>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1:52" s="12" customFormat="1" ht="16.05" customHeight="1" thickBot="1" x14ac:dyDescent="0.35">
      <c r="A181" s="1284" t="s">
        <v>250</v>
      </c>
      <c r="B181" s="1285"/>
      <c r="C181" s="1285"/>
      <c r="D181" s="1285"/>
      <c r="E181" s="886"/>
      <c r="J181" s="938"/>
      <c r="K181" s="937"/>
      <c r="L181" s="937"/>
      <c r="M181" s="937"/>
      <c r="N181" s="1095" t="s">
        <v>277</v>
      </c>
      <c r="O181" s="1099">
        <f>O179/O102</f>
        <v>18.088240786189292</v>
      </c>
      <c r="P181" s="1103" t="s">
        <v>114</v>
      </c>
      <c r="Q181" s="1101">
        <f>Q179/Q102</f>
        <v>18.398315512278526</v>
      </c>
      <c r="R181" s="1100" t="s">
        <v>114</v>
      </c>
      <c r="S181" s="971">
        <f>S179/S102</f>
        <v>18.450388849566551</v>
      </c>
      <c r="T181" s="924" t="s">
        <v>114</v>
      </c>
      <c r="U181" s="972">
        <f>U179/U102</f>
        <v>18.61869234663628</v>
      </c>
      <c r="V181" s="925" t="s">
        <v>114</v>
      </c>
      <c r="W181" s="973">
        <f>W179/W102</f>
        <v>19.437868021944485</v>
      </c>
      <c r="X181" s="926" t="s">
        <v>114</v>
      </c>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1:52" s="12" customFormat="1" ht="16.05" customHeight="1" thickBot="1" x14ac:dyDescent="0.35">
      <c r="A182" s="1"/>
      <c r="B182" s="1"/>
      <c r="G182" s="933"/>
      <c r="H182" s="933"/>
      <c r="I182" s="934"/>
      <c r="J182" s="935" t="s">
        <v>292</v>
      </c>
      <c r="K182" s="941">
        <f>H179/K61</f>
        <v>17.626696709755347</v>
      </c>
      <c r="L182" s="936" t="s">
        <v>114</v>
      </c>
      <c r="M182" s="1110"/>
      <c r="N182" s="1110"/>
      <c r="O182" s="1105">
        <f>O181+$K146</f>
        <v>19.542220799008909</v>
      </c>
      <c r="P182" s="1106" t="s">
        <v>114</v>
      </c>
      <c r="Q182" s="1105">
        <f>Q181+$K146</f>
        <v>19.852295525098143</v>
      </c>
      <c r="R182" s="1107" t="s">
        <v>114</v>
      </c>
      <c r="S182" s="1108">
        <f>S181+$K146</f>
        <v>19.904368862386168</v>
      </c>
      <c r="T182" s="1109" t="s">
        <v>114</v>
      </c>
      <c r="U182" s="1108">
        <f>U181+$K146</f>
        <v>20.072672359455897</v>
      </c>
      <c r="V182" s="1109" t="s">
        <v>114</v>
      </c>
      <c r="W182" s="1108">
        <f>W181+$K146</f>
        <v>20.891848034764102</v>
      </c>
      <c r="X182" s="1109" t="s">
        <v>114</v>
      </c>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1:52" s="12" customFormat="1" ht="16.05" customHeight="1" thickBot="1" x14ac:dyDescent="0.35">
      <c r="A183" s="1"/>
      <c r="B183" s="1"/>
      <c r="G183" s="931"/>
      <c r="H183" s="932"/>
      <c r="I183" s="932"/>
      <c r="J183" s="932"/>
      <c r="K183" s="932"/>
      <c r="L183" s="932"/>
      <c r="M183" s="932"/>
      <c r="N183" s="1116" t="s">
        <v>279</v>
      </c>
      <c r="O183" s="1115">
        <f>O182-K182</f>
        <v>1.9155240892535623</v>
      </c>
      <c r="P183" s="1098" t="s">
        <v>114</v>
      </c>
      <c r="Q183" s="1101">
        <f>Q182-K182</f>
        <v>2.2255988153427957</v>
      </c>
      <c r="R183" s="1100" t="s">
        <v>114</v>
      </c>
      <c r="S183" s="1256">
        <f>S182-K182</f>
        <v>2.2776721526308208</v>
      </c>
      <c r="T183" s="924" t="s">
        <v>114</v>
      </c>
      <c r="U183" s="972">
        <f>U182-K182</f>
        <v>2.44597564970055</v>
      </c>
      <c r="V183" s="925" t="s">
        <v>114</v>
      </c>
      <c r="W183" s="973">
        <f>W182-K182</f>
        <v>3.2651513250087554</v>
      </c>
      <c r="X183" s="926" t="s">
        <v>114</v>
      </c>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1:52" s="12" customFormat="1" ht="14.4" customHeight="1" x14ac:dyDescent="0.3">
      <c r="A184" s="1"/>
      <c r="B184" s="1"/>
      <c r="C184" s="1"/>
      <c r="D184" s="1"/>
      <c r="E184" s="1"/>
      <c r="F184" s="1" t="s">
        <v>293</v>
      </c>
      <c r="G184" s="1"/>
      <c r="H184" s="1"/>
      <c r="K184" s="1"/>
      <c r="L184" s="1"/>
      <c r="M184" s="1"/>
      <c r="N184" s="1"/>
      <c r="O184" s="213"/>
      <c r="P184" s="213"/>
      <c r="Q184" s="213"/>
      <c r="R184" s="213"/>
      <c r="S184" s="1118">
        <f>K146</f>
        <v>1.4539800128196156</v>
      </c>
      <c r="T184" s="1"/>
      <c r="U184" s="1"/>
      <c r="V184" s="1"/>
      <c r="W184" s="1"/>
      <c r="X184" s="1"/>
      <c r="Y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1:52" s="12" customFormat="1" ht="14.4" customHeight="1" x14ac:dyDescent="0.3">
      <c r="A185" s="1"/>
      <c r="B185" s="1"/>
      <c r="C185" s="1"/>
      <c r="D185" s="1"/>
      <c r="E185" s="1"/>
      <c r="F185" s="1229"/>
      <c r="G185" s="1229"/>
      <c r="H185" s="1229"/>
      <c r="I185" s="1229"/>
      <c r="Y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1:52" s="12" customFormat="1" ht="14.4" customHeight="1" x14ac:dyDescent="0.3">
      <c r="A186" s="1"/>
      <c r="B186" s="1"/>
      <c r="C186" s="1"/>
      <c r="D186" s="1"/>
      <c r="E186" s="1"/>
      <c r="F186" s="371"/>
      <c r="G186" s="371"/>
      <c r="H186" s="371"/>
      <c r="I186" s="1229"/>
      <c r="J186" s="1232"/>
      <c r="L186" s="1232"/>
      <c r="M186" s="1231"/>
      <c r="N186" s="1263" t="s">
        <v>299</v>
      </c>
      <c r="O186" s="1241">
        <f>O137</f>
        <v>364966.07087866706</v>
      </c>
      <c r="P186" s="1242"/>
      <c r="Q186" s="1243">
        <f>Q137</f>
        <v>449394.46368666412</v>
      </c>
      <c r="R186" s="1244"/>
      <c r="S186" s="1245">
        <f>S137</f>
        <v>460770.60941047012</v>
      </c>
      <c r="T186" s="1246"/>
      <c r="U186" s="1247">
        <f>U137</f>
        <v>569739.20061254327</v>
      </c>
      <c r="V186" s="1248"/>
      <c r="W186" s="1249">
        <f>W137</f>
        <v>671741.57162807847</v>
      </c>
      <c r="X186" s="1250"/>
      <c r="Y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1:52" s="12" customFormat="1" ht="14.4" customHeight="1" x14ac:dyDescent="0.3">
      <c r="A187" s="1"/>
      <c r="B187" s="1"/>
      <c r="C187" s="1"/>
      <c r="D187" s="1"/>
      <c r="E187" s="1"/>
      <c r="F187" s="371"/>
      <c r="G187" s="371"/>
      <c r="H187" s="371"/>
      <c r="I187" s="1229"/>
      <c r="J187" s="1230" t="s">
        <v>296</v>
      </c>
      <c r="K187" s="1264">
        <v>7</v>
      </c>
      <c r="L187" s="1229"/>
      <c r="M187" s="1229"/>
      <c r="N187" s="1230" t="s">
        <v>298</v>
      </c>
      <c r="O187" s="1241">
        <f>PMT($K188,$K187,O186,0,0)*-1</f>
        <v>63073.370108263509</v>
      </c>
      <c r="P187" s="1242"/>
      <c r="Q187" s="1243">
        <f>PMT($K188,$K187,Q186,0,0)*-1</f>
        <v>77664.269625043555</v>
      </c>
      <c r="R187" s="1244"/>
      <c r="S187" s="1245">
        <f>PMT($K188,$K187,S186,0,0)*-1</f>
        <v>79630.293063648889</v>
      </c>
      <c r="T187" s="1246"/>
      <c r="U187" s="1247">
        <f>PMT($K188,$K187,U186,0,0)*-1</f>
        <v>98462.225211526165</v>
      </c>
      <c r="V187" s="1248"/>
      <c r="W187" s="1249">
        <f>PMT($K188,$K187,W186,0,0)*-1</f>
        <v>116090.25645150989</v>
      </c>
      <c r="X187" s="1250"/>
      <c r="Y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1:52" s="12" customFormat="1" ht="14.4" customHeight="1" x14ac:dyDescent="0.3">
      <c r="A188" s="1"/>
      <c r="B188" s="1"/>
      <c r="C188" s="1"/>
      <c r="D188" s="1"/>
      <c r="E188" s="1"/>
      <c r="F188" s="1"/>
      <c r="G188" s="1"/>
      <c r="H188" s="1"/>
      <c r="I188" s="1"/>
      <c r="J188" s="1234" t="s">
        <v>297</v>
      </c>
      <c r="K188" s="1265">
        <v>0.05</v>
      </c>
      <c r="L188" s="1229"/>
      <c r="M188" s="1229"/>
      <c r="N188" s="1230" t="s">
        <v>280</v>
      </c>
      <c r="O188" s="1251">
        <f>O187/O102</f>
        <v>2.1900475732035942</v>
      </c>
      <c r="P188" s="1236" t="s">
        <v>114</v>
      </c>
      <c r="Q188" s="1252">
        <f>Q187/Q102</f>
        <v>2.6966760286473455</v>
      </c>
      <c r="R188" s="1237" t="s">
        <v>114</v>
      </c>
      <c r="S188" s="1253">
        <f>S187/S102</f>
        <v>2.7649407313766976</v>
      </c>
      <c r="T188" s="1238" t="s">
        <v>114</v>
      </c>
      <c r="U188" s="1254">
        <f>U187/U102</f>
        <v>3.4188272642891029</v>
      </c>
      <c r="V188" s="1239" t="s">
        <v>114</v>
      </c>
      <c r="W188" s="1255">
        <f>W187/W102</f>
        <v>4.0309116823440938</v>
      </c>
      <c r="X188" s="1240" t="s">
        <v>114</v>
      </c>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1:52" s="12" customFormat="1" ht="14.4" customHeight="1" x14ac:dyDescent="0.3">
      <c r="A189" s="1"/>
      <c r="B189" s="1"/>
      <c r="C189" s="1"/>
      <c r="D189" s="1"/>
      <c r="E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row>
    <row r="190" spans="1:52" s="12" customFormat="1" ht="14.4" customHeight="1" x14ac:dyDescent="0.3">
      <c r="A190" s="1"/>
      <c r="B190" s="1"/>
      <c r="C190" s="1"/>
      <c r="D190" s="1"/>
      <c r="E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row>
    <row r="191" spans="1:52" s="12" customFormat="1" ht="14.4" customHeight="1" x14ac:dyDescent="0.3">
      <c r="AH191" s="1"/>
      <c r="AI191" s="1"/>
      <c r="AJ191" s="1"/>
      <c r="AK191" s="1"/>
      <c r="AL191" s="1"/>
      <c r="AM191" s="1"/>
      <c r="AN191" s="1"/>
      <c r="AO191" s="1"/>
      <c r="AP191" s="1"/>
      <c r="AQ191" s="1"/>
      <c r="AR191" s="1"/>
      <c r="AS191" s="1"/>
      <c r="AT191" s="1"/>
    </row>
    <row r="192" spans="1:52" s="12" customFormat="1" ht="14.4" customHeight="1" x14ac:dyDescent="0.3">
      <c r="AH192" s="1"/>
      <c r="AI192" s="1"/>
      <c r="AJ192" s="1"/>
      <c r="AK192" s="1"/>
      <c r="AL192" s="1"/>
      <c r="AM192" s="1"/>
      <c r="AN192" s="1"/>
      <c r="AO192" s="1"/>
      <c r="AP192" s="1"/>
      <c r="AQ192" s="1"/>
      <c r="AR192" s="1"/>
      <c r="AS192" s="1"/>
      <c r="AT192" s="1"/>
    </row>
    <row r="193" spans="1:26" s="12" customFormat="1" x14ac:dyDescent="0.3"/>
    <row r="194" spans="1:26" s="12" customFormat="1" x14ac:dyDescent="0.3"/>
    <row r="195" spans="1:26" s="12" customFormat="1" x14ac:dyDescent="0.3"/>
    <row r="196" spans="1:26" s="12" customFormat="1" x14ac:dyDescent="0.3"/>
    <row r="197" spans="1:26" s="12" customFormat="1" x14ac:dyDescent="0.3"/>
    <row r="198" spans="1:26" s="12" customFormat="1" x14ac:dyDescent="0.3"/>
    <row r="199" spans="1:26" s="12" customFormat="1" x14ac:dyDescent="0.3"/>
    <row r="200" spans="1:26" s="12" customFormat="1" x14ac:dyDescent="0.3"/>
    <row r="201" spans="1:26" s="12" customFormat="1" x14ac:dyDescent="0.3"/>
    <row r="202" spans="1:26" s="12" customFormat="1" x14ac:dyDescent="0.3"/>
    <row r="203" spans="1:26" x14ac:dyDescent="0.3">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row>
    <row r="204" spans="1:26" x14ac:dyDescent="0.3">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x14ac:dyDescent="0.3">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x14ac:dyDescent="0.3">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x14ac:dyDescent="0.3">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x14ac:dyDescent="0.3">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x14ac:dyDescent="0.3">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x14ac:dyDescent="0.3">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x14ac:dyDescent="0.3">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x14ac:dyDescent="0.3">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x14ac:dyDescent="0.3">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x14ac:dyDescent="0.3">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x14ac:dyDescent="0.3">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x14ac:dyDescent="0.3">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x14ac:dyDescent="0.3">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5" customHeight="1" x14ac:dyDescent="0.3">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4.4" customHeight="1" x14ac:dyDescent="0.3">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x14ac:dyDescent="0.3">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x14ac:dyDescent="0.3">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x14ac:dyDescent="0.3">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x14ac:dyDescent="0.3">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x14ac:dyDescent="0.3">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x14ac:dyDescent="0.3">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x14ac:dyDescent="0.3">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x14ac:dyDescent="0.3">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x14ac:dyDescent="0.3">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x14ac:dyDescent="0.3">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x14ac:dyDescent="0.3">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x14ac:dyDescent="0.3">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x14ac:dyDescent="0.3">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x14ac:dyDescent="0.3">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x14ac:dyDescent="0.3">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x14ac:dyDescent="0.3">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x14ac:dyDescent="0.3">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x14ac:dyDescent="0.3">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x14ac:dyDescent="0.3">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x14ac:dyDescent="0.3">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x14ac:dyDescent="0.3">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x14ac:dyDescent="0.3">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x14ac:dyDescent="0.3">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x14ac:dyDescent="0.3">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x14ac:dyDescent="0.3">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x14ac:dyDescent="0.3">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x14ac:dyDescent="0.3">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x14ac:dyDescent="0.3">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x14ac:dyDescent="0.3">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x14ac:dyDescent="0.3">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x14ac:dyDescent="0.3">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x14ac:dyDescent="0.3">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x14ac:dyDescent="0.3">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x14ac:dyDescent="0.3">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x14ac:dyDescent="0.3">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x14ac:dyDescent="0.3">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x14ac:dyDescent="0.3">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x14ac:dyDescent="0.3">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x14ac:dyDescent="0.3">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x14ac:dyDescent="0.3">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x14ac:dyDescent="0.3">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x14ac:dyDescent="0.3">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x14ac:dyDescent="0.3">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x14ac:dyDescent="0.3">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x14ac:dyDescent="0.3">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x14ac:dyDescent="0.3">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x14ac:dyDescent="0.3">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x14ac:dyDescent="0.3">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x14ac:dyDescent="0.3">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x14ac:dyDescent="0.3">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x14ac:dyDescent="0.3">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x14ac:dyDescent="0.3">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x14ac:dyDescent="0.3">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x14ac:dyDescent="0.3">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x14ac:dyDescent="0.3">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x14ac:dyDescent="0.3">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x14ac:dyDescent="0.3">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x14ac:dyDescent="0.3">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x14ac:dyDescent="0.3">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x14ac:dyDescent="0.3">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x14ac:dyDescent="0.3">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x14ac:dyDescent="0.3">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x14ac:dyDescent="0.3">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x14ac:dyDescent="0.3">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x14ac:dyDescent="0.3">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x14ac:dyDescent="0.3">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x14ac:dyDescent="0.3">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x14ac:dyDescent="0.3">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x14ac:dyDescent="0.3">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x14ac:dyDescent="0.3">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x14ac:dyDescent="0.3">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x14ac:dyDescent="0.3">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x14ac:dyDescent="0.3">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x14ac:dyDescent="0.3">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x14ac:dyDescent="0.3">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x14ac:dyDescent="0.3">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x14ac:dyDescent="0.3">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x14ac:dyDescent="0.3">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x14ac:dyDescent="0.3">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x14ac:dyDescent="0.3">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x14ac:dyDescent="0.3">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x14ac:dyDescent="0.3">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x14ac:dyDescent="0.3">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x14ac:dyDescent="0.3">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x14ac:dyDescent="0.3">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x14ac:dyDescent="0.3">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x14ac:dyDescent="0.3">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x14ac:dyDescent="0.3">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x14ac:dyDescent="0.3">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x14ac:dyDescent="0.3">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x14ac:dyDescent="0.3">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x14ac:dyDescent="0.3">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x14ac:dyDescent="0.3">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x14ac:dyDescent="0.3">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x14ac:dyDescent="0.3">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row>
    <row r="315" spans="1:26" x14ac:dyDescent="0.3">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row>
    <row r="316" spans="1:26" x14ac:dyDescent="0.3">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row>
    <row r="317" spans="1:26" x14ac:dyDescent="0.3">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row>
    <row r="318" spans="1:26" x14ac:dyDescent="0.3">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row>
    <row r="319" spans="1:26" x14ac:dyDescent="0.3">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row>
    <row r="320" spans="1:26" x14ac:dyDescent="0.3">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row>
    <row r="321" spans="1:25" x14ac:dyDescent="0.3">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row>
    <row r="322" spans="1:25" x14ac:dyDescent="0.3">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row>
    <row r="323" spans="1:25" x14ac:dyDescent="0.3">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row>
    <row r="324" spans="1:25" x14ac:dyDescent="0.3">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row>
    <row r="325" spans="1:25" x14ac:dyDescent="0.3">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row>
    <row r="326" spans="1:25" x14ac:dyDescent="0.3">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row>
    <row r="327" spans="1:25" x14ac:dyDescent="0.3">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row>
    <row r="328" spans="1:25" x14ac:dyDescent="0.3">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row>
    <row r="329" spans="1:25" x14ac:dyDescent="0.3">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row>
    <row r="330" spans="1:25" x14ac:dyDescent="0.3">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row>
    <row r="331" spans="1:25" x14ac:dyDescent="0.3">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row>
    <row r="332" spans="1:25" x14ac:dyDescent="0.3">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row>
    <row r="333" spans="1:25" x14ac:dyDescent="0.3">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row>
    <row r="334" spans="1:25" x14ac:dyDescent="0.3">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row>
    <row r="335" spans="1:25" x14ac:dyDescent="0.3">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row>
    <row r="336" spans="1:25" x14ac:dyDescent="0.3">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row>
    <row r="337" spans="1:25" x14ac:dyDescent="0.3">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row>
    <row r="338" spans="1:25" x14ac:dyDescent="0.3">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row>
    <row r="339" spans="1:25" x14ac:dyDescent="0.3">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row>
    <row r="340" spans="1:25" x14ac:dyDescent="0.3">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row>
    <row r="341" spans="1:25" x14ac:dyDescent="0.3">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row>
    <row r="342" spans="1:25" x14ac:dyDescent="0.3">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row>
    <row r="343" spans="1:25" x14ac:dyDescent="0.3">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row>
    <row r="344" spans="1:25" x14ac:dyDescent="0.3">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row>
    <row r="345" spans="1:25" x14ac:dyDescent="0.3">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row>
    <row r="346" spans="1:25" x14ac:dyDescent="0.3">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row>
    <row r="347" spans="1:25" x14ac:dyDescent="0.3">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row>
    <row r="348" spans="1:25" x14ac:dyDescent="0.3">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row>
    <row r="349" spans="1:25" x14ac:dyDescent="0.3">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row>
    <row r="350" spans="1:25" x14ac:dyDescent="0.3">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row>
    <row r="351" spans="1:25" x14ac:dyDescent="0.3">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row>
    <row r="352" spans="1:25" x14ac:dyDescent="0.3">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row>
    <row r="353" spans="1:25" x14ac:dyDescent="0.3">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row>
    <row r="354" spans="1:25" x14ac:dyDescent="0.3">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row>
    <row r="355" spans="1:25" x14ac:dyDescent="0.3">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row>
    <row r="356" spans="1:25" x14ac:dyDescent="0.3">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row>
    <row r="357" spans="1:25" x14ac:dyDescent="0.3">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row>
    <row r="358" spans="1:25" x14ac:dyDescent="0.3">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row>
    <row r="359" spans="1:25" x14ac:dyDescent="0.3">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row>
    <row r="360" spans="1:25" x14ac:dyDescent="0.3">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row>
    <row r="361" spans="1:25" x14ac:dyDescent="0.3">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row>
    <row r="362" spans="1:25" x14ac:dyDescent="0.3">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row>
    <row r="363" spans="1:25" x14ac:dyDescent="0.3">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row>
    <row r="364" spans="1:25" x14ac:dyDescent="0.3">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row>
    <row r="365" spans="1:25" x14ac:dyDescent="0.3">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row>
    <row r="366" spans="1:25" x14ac:dyDescent="0.3">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row>
    <row r="367" spans="1:25" x14ac:dyDescent="0.3">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row>
    <row r="368" spans="1:25" x14ac:dyDescent="0.3">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row>
    <row r="369" spans="1:25" x14ac:dyDescent="0.3">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row>
    <row r="370" spans="1:25" x14ac:dyDescent="0.3">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row>
    <row r="371" spans="1:25" x14ac:dyDescent="0.3">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row>
    <row r="372" spans="1:25" x14ac:dyDescent="0.3">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row>
    <row r="373" spans="1:25" x14ac:dyDescent="0.3">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row>
    <row r="374" spans="1:25" x14ac:dyDescent="0.3">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row>
    <row r="375" spans="1:25" x14ac:dyDescent="0.3">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row>
    <row r="376" spans="1:25" x14ac:dyDescent="0.3">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row>
    <row r="377" spans="1:25" x14ac:dyDescent="0.3">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row>
    <row r="378" spans="1:25" x14ac:dyDescent="0.3">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row>
    <row r="379" spans="1:25" x14ac:dyDescent="0.3">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row>
    <row r="380" spans="1:25" x14ac:dyDescent="0.3">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row>
    <row r="381" spans="1:25" x14ac:dyDescent="0.3">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row>
    <row r="382" spans="1:25" x14ac:dyDescent="0.3">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row>
    <row r="383" spans="1:25" x14ac:dyDescent="0.3">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row>
    <row r="384" spans="1:25" x14ac:dyDescent="0.3">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row>
    <row r="385" spans="1:25" x14ac:dyDescent="0.3">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row>
    <row r="386" spans="1:25" x14ac:dyDescent="0.3">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row>
    <row r="387" spans="1:25" x14ac:dyDescent="0.3">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row>
    <row r="388" spans="1:25" x14ac:dyDescent="0.3">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row>
    <row r="389" spans="1:25" x14ac:dyDescent="0.3">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row>
    <row r="390" spans="1:25" x14ac:dyDescent="0.3">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row>
    <row r="391" spans="1:25" x14ac:dyDescent="0.3">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row>
    <row r="392" spans="1:25" x14ac:dyDescent="0.3">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row>
    <row r="393" spans="1:25" x14ac:dyDescent="0.3">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row>
    <row r="394" spans="1:25" x14ac:dyDescent="0.3">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row>
    <row r="395" spans="1:25" x14ac:dyDescent="0.3">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row>
    <row r="396" spans="1:25" x14ac:dyDescent="0.3">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row>
    <row r="397" spans="1:25" x14ac:dyDescent="0.3">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row>
    <row r="398" spans="1:25" x14ac:dyDescent="0.3">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row>
    <row r="399" spans="1:25" x14ac:dyDescent="0.3">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row>
    <row r="400" spans="1:25" x14ac:dyDescent="0.3">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row>
    <row r="401" spans="1:25" x14ac:dyDescent="0.3">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row>
    <row r="402" spans="1:25" x14ac:dyDescent="0.3">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row>
    <row r="403" spans="1:25" x14ac:dyDescent="0.3">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row>
    <row r="404" spans="1:25" x14ac:dyDescent="0.3">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row>
    <row r="405" spans="1:25" x14ac:dyDescent="0.3">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row>
    <row r="406" spans="1:25" x14ac:dyDescent="0.3">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row>
    <row r="407" spans="1:25" x14ac:dyDescent="0.3">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row>
    <row r="408" spans="1:25" x14ac:dyDescent="0.3">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row>
    <row r="409" spans="1:25" x14ac:dyDescent="0.3">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row>
    <row r="410" spans="1:25" x14ac:dyDescent="0.3">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row>
    <row r="411" spans="1:25" x14ac:dyDescent="0.3">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row>
    <row r="412" spans="1:25" x14ac:dyDescent="0.3">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row>
    <row r="413" spans="1:25" x14ac:dyDescent="0.3">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row>
    <row r="414" spans="1:25" x14ac:dyDescent="0.3">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row>
    <row r="415" spans="1:25" x14ac:dyDescent="0.3">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row>
    <row r="416" spans="1:25" x14ac:dyDescent="0.3">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row>
    <row r="417" spans="1:25" x14ac:dyDescent="0.3">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row>
    <row r="418" spans="1:25" x14ac:dyDescent="0.3">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row>
    <row r="419" spans="1:25" x14ac:dyDescent="0.3">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row>
    <row r="420" spans="1:25" x14ac:dyDescent="0.3">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row>
    <row r="421" spans="1:25" x14ac:dyDescent="0.3">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row>
    <row r="422" spans="1:25" x14ac:dyDescent="0.3">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row>
    <row r="423" spans="1:25" x14ac:dyDescent="0.3">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row>
    <row r="424" spans="1:25" x14ac:dyDescent="0.3">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row>
    <row r="425" spans="1:25" x14ac:dyDescent="0.3">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row>
    <row r="426" spans="1:25" x14ac:dyDescent="0.3">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row>
    <row r="427" spans="1:25" x14ac:dyDescent="0.3">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row>
    <row r="428" spans="1:25" x14ac:dyDescent="0.3">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row>
    <row r="429" spans="1:25" x14ac:dyDescent="0.3">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row>
    <row r="430" spans="1:25" x14ac:dyDescent="0.3">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row>
    <row r="431" spans="1:25" x14ac:dyDescent="0.3">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row>
    <row r="432" spans="1:25" x14ac:dyDescent="0.3">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row>
    <row r="433" spans="1:25" x14ac:dyDescent="0.3">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row>
    <row r="434" spans="1:25" x14ac:dyDescent="0.3">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row>
    <row r="435" spans="1:25" x14ac:dyDescent="0.3">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row>
    <row r="436" spans="1:25" x14ac:dyDescent="0.3">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row>
    <row r="437" spans="1:25" x14ac:dyDescent="0.3">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row>
    <row r="438" spans="1:25" x14ac:dyDescent="0.3">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row>
    <row r="439" spans="1:25" x14ac:dyDescent="0.3">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row>
    <row r="440" spans="1:25" x14ac:dyDescent="0.3">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row>
    <row r="441" spans="1:25" x14ac:dyDescent="0.3">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row>
    <row r="442" spans="1:25" x14ac:dyDescent="0.3">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row>
    <row r="443" spans="1:25" x14ac:dyDescent="0.3">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row>
    <row r="444" spans="1:25" x14ac:dyDescent="0.3">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row>
    <row r="445" spans="1:25" x14ac:dyDescent="0.3">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row>
    <row r="446" spans="1:25" x14ac:dyDescent="0.3">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row>
    <row r="447" spans="1:25" x14ac:dyDescent="0.3">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row>
    <row r="448" spans="1:25" x14ac:dyDescent="0.3">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row>
    <row r="449" spans="1:25" x14ac:dyDescent="0.3">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row>
    <row r="450" spans="1:25" x14ac:dyDescent="0.3">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row>
    <row r="451" spans="1:25" x14ac:dyDescent="0.3">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row>
    <row r="452" spans="1:25" x14ac:dyDescent="0.3">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row>
    <row r="453" spans="1:25" x14ac:dyDescent="0.3">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row>
    <row r="454" spans="1:25" x14ac:dyDescent="0.3">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row>
    <row r="455" spans="1:25" x14ac:dyDescent="0.3">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row>
    <row r="456" spans="1:25" x14ac:dyDescent="0.3">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row>
    <row r="457" spans="1:25" x14ac:dyDescent="0.3">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row>
    <row r="458" spans="1:25" x14ac:dyDescent="0.3">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row>
    <row r="459" spans="1:25" x14ac:dyDescent="0.3">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row>
    <row r="460" spans="1:25" x14ac:dyDescent="0.3">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row>
    <row r="461" spans="1:25" x14ac:dyDescent="0.3">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row>
    <row r="462" spans="1:25" x14ac:dyDescent="0.3">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row>
    <row r="463" spans="1:25" x14ac:dyDescent="0.3">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row>
    <row r="464" spans="1:25" x14ac:dyDescent="0.3">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row>
    <row r="465" spans="1:25" x14ac:dyDescent="0.3">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row>
    <row r="466" spans="1:25" x14ac:dyDescent="0.3">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row>
    <row r="467" spans="1:25" x14ac:dyDescent="0.3">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row>
    <row r="468" spans="1:25" x14ac:dyDescent="0.3">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row>
    <row r="469" spans="1:25" x14ac:dyDescent="0.3">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row>
    <row r="470" spans="1:25" x14ac:dyDescent="0.3">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row>
    <row r="471" spans="1:25" x14ac:dyDescent="0.3">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row>
    <row r="472" spans="1:25" x14ac:dyDescent="0.3">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row>
    <row r="473" spans="1:25" x14ac:dyDescent="0.3">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row>
    <row r="474" spans="1:25" x14ac:dyDescent="0.3">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row>
    <row r="475" spans="1:25" x14ac:dyDescent="0.3">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row>
    <row r="476" spans="1:25" x14ac:dyDescent="0.3">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row>
    <row r="477" spans="1:25" x14ac:dyDescent="0.3">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row>
    <row r="478" spans="1:25" x14ac:dyDescent="0.3">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row>
    <row r="479" spans="1:25" x14ac:dyDescent="0.3">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row>
    <row r="480" spans="1:25" x14ac:dyDescent="0.3">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row>
    <row r="481" spans="1:25" x14ac:dyDescent="0.3">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row>
    <row r="482" spans="1:25" x14ac:dyDescent="0.3">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row>
    <row r="483" spans="1:25" x14ac:dyDescent="0.3">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row>
    <row r="484" spans="1:25" x14ac:dyDescent="0.3">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row>
    <row r="485" spans="1:25" x14ac:dyDescent="0.3">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row>
    <row r="486" spans="1:25" x14ac:dyDescent="0.3">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row>
    <row r="487" spans="1:25" x14ac:dyDescent="0.3">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row>
    <row r="488" spans="1:25" x14ac:dyDescent="0.3">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row>
    <row r="489" spans="1:25" x14ac:dyDescent="0.3">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row>
    <row r="490" spans="1:25" x14ac:dyDescent="0.3">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row>
    <row r="491" spans="1:25" x14ac:dyDescent="0.3">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row>
    <row r="492" spans="1:25" x14ac:dyDescent="0.3">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row>
    <row r="493" spans="1:25" x14ac:dyDescent="0.3">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row>
    <row r="494" spans="1:25" x14ac:dyDescent="0.3">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row>
    <row r="495" spans="1:25" x14ac:dyDescent="0.3">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row>
    <row r="496" spans="1:25" x14ac:dyDescent="0.3">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row>
    <row r="497" spans="1:25" x14ac:dyDescent="0.3">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row>
    <row r="498" spans="1:25" x14ac:dyDescent="0.3">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row>
    <row r="499" spans="1:25" x14ac:dyDescent="0.3">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row>
    <row r="500" spans="1:25" x14ac:dyDescent="0.3">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row>
    <row r="501" spans="1:25" x14ac:dyDescent="0.3">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row>
    <row r="502" spans="1:25" x14ac:dyDescent="0.3">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row>
    <row r="503" spans="1:25" x14ac:dyDescent="0.3">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row>
    <row r="504" spans="1:25" x14ac:dyDescent="0.3">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row>
  </sheetData>
  <sheetProtection password="9009" sheet="1" objects="1" scenarios="1"/>
  <mergeCells count="40">
    <mergeCell ref="W56:X56"/>
    <mergeCell ref="E89:I89"/>
    <mergeCell ref="E90:I91"/>
    <mergeCell ref="J92:S92"/>
    <mergeCell ref="H116:J116"/>
    <mergeCell ref="S56:T56"/>
    <mergeCell ref="U56:V56"/>
    <mergeCell ref="O56:P56"/>
    <mergeCell ref="Q56:R56"/>
    <mergeCell ref="A8:D9"/>
    <mergeCell ref="A5:B5"/>
    <mergeCell ref="A6:D6"/>
    <mergeCell ref="G164:I164"/>
    <mergeCell ref="H123:J123"/>
    <mergeCell ref="H124:J124"/>
    <mergeCell ref="H129:J129"/>
    <mergeCell ref="H130:J130"/>
    <mergeCell ref="H132:J132"/>
    <mergeCell ref="G163:I163"/>
    <mergeCell ref="H122:J122"/>
    <mergeCell ref="I17:K17"/>
    <mergeCell ref="I18:K18"/>
    <mergeCell ref="A32:B32"/>
    <mergeCell ref="A33:D33"/>
    <mergeCell ref="A57:B57"/>
    <mergeCell ref="A58:D58"/>
    <mergeCell ref="A78:B78"/>
    <mergeCell ref="A79:D79"/>
    <mergeCell ref="A91:B91"/>
    <mergeCell ref="A92:D92"/>
    <mergeCell ref="A120:B120"/>
    <mergeCell ref="A121:D121"/>
    <mergeCell ref="A104:J106"/>
    <mergeCell ref="A181:D181"/>
    <mergeCell ref="A149:B149"/>
    <mergeCell ref="A150:D150"/>
    <mergeCell ref="A170:B170"/>
    <mergeCell ref="A171:D171"/>
    <mergeCell ref="A180:B180"/>
    <mergeCell ref="I146:J146"/>
  </mergeCells>
  <hyperlinks>
    <hyperlink ref="A8" location="'Advanced Version'!A2" display="Home"/>
    <hyperlink ref="A6" location="'User Manual'!B1" display="User Manual"/>
    <hyperlink ref="A33" location="'User Manual'!B1" display="User Manual"/>
    <hyperlink ref="A58" location="'User Manual'!B1" display="User Manual"/>
    <hyperlink ref="A79" location="'User Manual'!B1" display="User Manual"/>
    <hyperlink ref="A92" location="'User Manual'!B1" display="User Manual"/>
    <hyperlink ref="A121" location="'User Manual'!B1" display="User Manual"/>
    <hyperlink ref="A150" location="'User Manual'!B1" display="User Manual"/>
    <hyperlink ref="A171" location="'User Manual'!B1" display="User Manual"/>
    <hyperlink ref="A181" location="'User Manual'!B1" display="User Manual"/>
  </hyperlinks>
  <pageMargins left="0.25" right="0.25" top="0.5" bottom="0.5" header="0.3" footer="0.3"/>
  <pageSetup scale="53" fitToHeight="2" orientation="portrait" r:id="rId1"/>
  <rowBreaks count="1" manualBreakCount="1">
    <brk id="98"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List Box 1">
              <controlPr locked="0" defaultSize="0" autoLine="0" autoPict="0">
                <anchor moveWithCells="1">
                  <from>
                    <xdr:col>9</xdr:col>
                    <xdr:colOff>7620</xdr:colOff>
                    <xdr:row>88</xdr:row>
                    <xdr:rowOff>0</xdr:rowOff>
                  </from>
                  <to>
                    <xdr:col>14</xdr:col>
                    <xdr:colOff>0</xdr:colOff>
                    <xdr:row>91</xdr:row>
                    <xdr:rowOff>7620</xdr:rowOff>
                  </to>
                </anchor>
              </controlPr>
            </control>
          </mc:Choice>
        </mc:AlternateContent>
        <mc:AlternateContent xmlns:mc="http://schemas.openxmlformats.org/markup-compatibility/2006">
          <mc:Choice Requires="x14">
            <control shapeId="15362" r:id="rId5" name="Check Box 2">
              <controlPr locked="0" defaultSize="0" autoFill="0" autoLine="0" autoPict="0" altText="YES">
                <anchor moveWithCells="1">
                  <from>
                    <xdr:col>4</xdr:col>
                    <xdr:colOff>182880</xdr:colOff>
                    <xdr:row>94</xdr:row>
                    <xdr:rowOff>0</xdr:rowOff>
                  </from>
                  <to>
                    <xdr:col>5</xdr:col>
                    <xdr:colOff>0</xdr:colOff>
                    <xdr:row>95</xdr:row>
                    <xdr:rowOff>7620</xdr:rowOff>
                  </to>
                </anchor>
              </controlPr>
            </control>
          </mc:Choice>
        </mc:AlternateContent>
        <mc:AlternateContent xmlns:mc="http://schemas.openxmlformats.org/markup-compatibility/2006">
          <mc:Choice Requires="x14">
            <control shapeId="15363" r:id="rId6" name="Check Box 3">
              <controlPr locked="0" defaultSize="0" autoFill="0" autoLine="0" autoPict="0" altText="YES">
                <anchor moveWithCells="1">
                  <from>
                    <xdr:col>4</xdr:col>
                    <xdr:colOff>182880</xdr:colOff>
                    <xdr:row>95</xdr:row>
                    <xdr:rowOff>0</xdr:rowOff>
                  </from>
                  <to>
                    <xdr:col>4</xdr:col>
                    <xdr:colOff>617220</xdr:colOff>
                    <xdr:row>96</xdr:row>
                    <xdr:rowOff>7620</xdr:rowOff>
                  </to>
                </anchor>
              </controlPr>
            </control>
          </mc:Choice>
        </mc:AlternateContent>
        <mc:AlternateContent xmlns:mc="http://schemas.openxmlformats.org/markup-compatibility/2006">
          <mc:Choice Requires="x14">
            <control shapeId="15364" r:id="rId7" name="Check Box 4">
              <controlPr locked="0" defaultSize="0" autoFill="0" autoLine="0" autoPict="0" altText="YES">
                <anchor moveWithCells="1">
                  <from>
                    <xdr:col>4</xdr:col>
                    <xdr:colOff>182880</xdr:colOff>
                    <xdr:row>96</xdr:row>
                    <xdr:rowOff>22860</xdr:rowOff>
                  </from>
                  <to>
                    <xdr:col>4</xdr:col>
                    <xdr:colOff>617220</xdr:colOff>
                    <xdr:row>97</xdr:row>
                    <xdr:rowOff>30480</xdr:rowOff>
                  </to>
                </anchor>
              </controlPr>
            </control>
          </mc:Choice>
        </mc:AlternateContent>
        <mc:AlternateContent xmlns:mc="http://schemas.openxmlformats.org/markup-compatibility/2006">
          <mc:Choice Requires="x14">
            <control shapeId="15365" r:id="rId8" name="Check Box 5">
              <controlPr locked="0" defaultSize="0" autoFill="0" autoLine="0" autoPict="0" altText="Use Farm Ration Cost per pound_x000a_">
                <anchor moveWithCells="1">
                  <from>
                    <xdr:col>8</xdr:col>
                    <xdr:colOff>15240</xdr:colOff>
                    <xdr:row>50</xdr:row>
                    <xdr:rowOff>38100</xdr:rowOff>
                  </from>
                  <to>
                    <xdr:col>10</xdr:col>
                    <xdr:colOff>7620</xdr:colOff>
                    <xdr:row>51</xdr:row>
                    <xdr:rowOff>129540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BE200"/>
  <sheetViews>
    <sheetView topLeftCell="A2" zoomScaleNormal="100" workbookViewId="0">
      <selection activeCell="A2" sqref="A2"/>
    </sheetView>
  </sheetViews>
  <sheetFormatPr defaultRowHeight="14.4" x14ac:dyDescent="0.3"/>
  <cols>
    <col min="1" max="1" width="2.77734375" customWidth="1"/>
    <col min="2" max="2" width="5.77734375" customWidth="1"/>
    <col min="3" max="4" width="2.77734375" customWidth="1"/>
    <col min="5" max="5" width="9.109375" customWidth="1"/>
    <col min="6" max="8" width="2.77734375" customWidth="1"/>
    <col min="9" max="9" width="11.77734375" customWidth="1"/>
    <col min="10" max="10" width="14.77734375" customWidth="1"/>
    <col min="11" max="11" width="12.77734375" customWidth="1"/>
    <col min="12" max="12" width="4.77734375" customWidth="1"/>
    <col min="13" max="13" width="9.77734375" customWidth="1"/>
    <col min="14" max="14" width="4.77734375" customWidth="1"/>
    <col min="15" max="15" width="12.77734375" customWidth="1"/>
    <col min="16" max="16" width="4.77734375" customWidth="1"/>
    <col min="17" max="17" width="12.77734375" customWidth="1"/>
    <col min="18" max="18" width="4.77734375" customWidth="1"/>
    <col min="19" max="19" width="12.77734375" customWidth="1"/>
    <col min="20" max="20" width="4.77734375" customWidth="1"/>
    <col min="21" max="21" width="12.77734375" customWidth="1"/>
    <col min="22" max="22" width="4.77734375" customWidth="1"/>
    <col min="23" max="23" width="12.77734375" customWidth="1"/>
    <col min="24" max="24" width="4.77734375" customWidth="1"/>
    <col min="25" max="25" width="6.109375" customWidth="1"/>
    <col min="26" max="26" width="5.44140625" customWidth="1"/>
    <col min="27" max="33" width="8.88671875" hidden="1" customWidth="1"/>
    <col min="34" max="34" width="12.77734375" hidden="1" customWidth="1"/>
    <col min="35" max="36" width="8.88671875" hidden="1" customWidth="1"/>
    <col min="37" max="37" width="12.77734375" hidden="1" customWidth="1"/>
    <col min="38" max="38" width="2.77734375" hidden="1" customWidth="1"/>
    <col min="39" max="39" width="12.77734375" hidden="1" customWidth="1"/>
    <col min="40" max="40" width="2.77734375" hidden="1" customWidth="1"/>
    <col min="41" max="41" width="12.77734375" hidden="1" customWidth="1"/>
    <col min="42" max="42" width="2.77734375" hidden="1" customWidth="1"/>
    <col min="43" max="43" width="12.77734375" hidden="1" customWidth="1"/>
    <col min="44" max="44" width="2.77734375" hidden="1" customWidth="1"/>
    <col min="45" max="45" width="12.77734375" hidden="1" customWidth="1"/>
    <col min="46" max="46" width="2.77734375" hidden="1" customWidth="1"/>
    <col min="47" max="52" width="8.88671875" hidden="1" customWidth="1"/>
    <col min="53" max="58" width="8.88671875" customWidth="1"/>
  </cols>
  <sheetData>
    <row r="1" spans="1:52" ht="14.4" hidden="1" customHeight="1" x14ac:dyDescent="0.3"/>
    <row r="2" spans="1:52" s="12" customFormat="1" ht="18" customHeight="1" x14ac:dyDescent="0.3">
      <c r="A2" s="40" t="s">
        <v>237</v>
      </c>
      <c r="B2" s="40"/>
      <c r="C2" s="40"/>
      <c r="D2" s="1"/>
      <c r="E2" s="1"/>
      <c r="F2" s="1"/>
      <c r="G2" s="1"/>
      <c r="H2" s="1"/>
      <c r="I2" s="1"/>
      <c r="J2" s="1"/>
      <c r="K2" s="1"/>
      <c r="L2" s="37"/>
      <c r="M2" s="39"/>
      <c r="N2" s="39"/>
      <c r="O2" s="22"/>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12" customFormat="1" ht="14.4" customHeight="1" x14ac:dyDescent="0.3">
      <c r="A3" s="1"/>
      <c r="B3" s="1"/>
      <c r="C3" s="1"/>
      <c r="D3" s="1"/>
      <c r="E3" s="1"/>
      <c r="F3" s="1"/>
      <c r="G3" s="1"/>
      <c r="H3" s="1"/>
      <c r="I3" s="1"/>
      <c r="J3" s="1"/>
      <c r="K3" s="1"/>
      <c r="L3" s="37"/>
      <c r="M3" s="39"/>
      <c r="N3" s="39"/>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12" customFormat="1" ht="14.4" customHeight="1" x14ac:dyDescent="0.3">
      <c r="A4" s="1"/>
      <c r="B4" s="1"/>
      <c r="C4" s="1"/>
      <c r="D4" s="1"/>
      <c r="E4" s="1"/>
      <c r="F4" s="1"/>
      <c r="G4" s="1"/>
      <c r="H4" s="1"/>
      <c r="I4" s="1"/>
      <c r="J4" s="1"/>
      <c r="K4" s="1"/>
      <c r="L4" s="37"/>
      <c r="M4" s="39"/>
      <c r="N4" s="39"/>
      <c r="O4" s="22"/>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12" customFormat="1" ht="14.4" customHeight="1" x14ac:dyDescent="0.3">
      <c r="A5" s="1328" t="s">
        <v>240</v>
      </c>
      <c r="B5" s="1329"/>
      <c r="C5" s="1"/>
      <c r="D5" s="1"/>
      <c r="E5" s="36"/>
      <c r="F5" s="36" t="s">
        <v>95</v>
      </c>
      <c r="G5" s="1"/>
      <c r="H5" s="1"/>
      <c r="I5" s="1"/>
      <c r="J5" s="1"/>
      <c r="K5" s="1"/>
      <c r="L5" s="37"/>
      <c r="M5" s="39"/>
      <c r="N5" s="39"/>
      <c r="O5" s="22"/>
      <c r="P5" s="1"/>
      <c r="Q5" s="40"/>
      <c r="R5" s="40"/>
      <c r="S5" s="40"/>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12" customFormat="1" ht="14.4" customHeight="1" x14ac:dyDescent="0.3">
      <c r="A6" s="1284" t="s">
        <v>250</v>
      </c>
      <c r="B6" s="1285"/>
      <c r="C6" s="1285"/>
      <c r="D6" s="1286"/>
      <c r="G6" s="1"/>
      <c r="H6" s="1"/>
      <c r="I6" s="1" t="s">
        <v>48</v>
      </c>
      <c r="J6" s="1" t="s">
        <v>192</v>
      </c>
      <c r="K6" s="1"/>
      <c r="L6" s="37"/>
      <c r="M6" s="39"/>
      <c r="N6" s="39"/>
      <c r="O6" s="22"/>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12" customFormat="1" ht="14.4" customHeight="1" x14ac:dyDescent="0.3">
      <c r="G7" s="1"/>
      <c r="H7" s="1"/>
      <c r="I7" s="1" t="s">
        <v>141</v>
      </c>
      <c r="J7" s="1" t="s">
        <v>142</v>
      </c>
      <c r="K7" s="1"/>
      <c r="L7" s="37"/>
      <c r="M7" s="39"/>
      <c r="N7" s="39"/>
      <c r="O7" s="22"/>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12" customFormat="1" ht="14.4" customHeight="1" x14ac:dyDescent="0.3">
      <c r="A8" s="1291" t="s">
        <v>258</v>
      </c>
      <c r="B8" s="1292"/>
      <c r="C8" s="1292"/>
      <c r="D8" s="1293"/>
      <c r="G8" s="1"/>
      <c r="H8" s="1"/>
      <c r="I8" s="1" t="s">
        <v>47</v>
      </c>
      <c r="J8" s="1" t="s">
        <v>143</v>
      </c>
      <c r="K8" s="1"/>
      <c r="L8" s="37"/>
      <c r="M8" s="39"/>
      <c r="N8" s="39"/>
      <c r="O8" s="22"/>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12" customFormat="1" ht="14.4" customHeight="1" x14ac:dyDescent="0.3">
      <c r="A9" s="1294"/>
      <c r="B9" s="1295"/>
      <c r="C9" s="1295"/>
      <c r="D9" s="1296"/>
      <c r="G9" s="1"/>
      <c r="H9" s="1"/>
      <c r="I9" s="1" t="s">
        <v>216</v>
      </c>
      <c r="J9" s="1"/>
      <c r="K9" s="1"/>
      <c r="L9" s="37"/>
      <c r="M9" s="39"/>
      <c r="N9" s="39"/>
      <c r="O9" s="22"/>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12" customFormat="1" ht="14.4" customHeight="1" x14ac:dyDescent="0.3">
      <c r="A10" s="1"/>
      <c r="B10" s="1"/>
      <c r="C10" s="1"/>
      <c r="D10" s="1"/>
      <c r="G10" s="1"/>
      <c r="H10" s="1"/>
      <c r="I10" s="1"/>
      <c r="J10" s="1"/>
      <c r="K10" s="1"/>
      <c r="L10" s="37"/>
      <c r="M10" s="39"/>
      <c r="N10" s="39"/>
      <c r="O10" s="22"/>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12" customFormat="1" ht="14.4" customHeight="1" x14ac:dyDescent="0.3">
      <c r="A11" s="1"/>
      <c r="B11" s="1"/>
      <c r="C11" s="1"/>
      <c r="D11" s="1"/>
      <c r="G11" s="1"/>
      <c r="H11" s="1"/>
      <c r="I11" s="1" t="s">
        <v>294</v>
      </c>
      <c r="J11" s="1" t="s">
        <v>237</v>
      </c>
      <c r="K11" s="1"/>
      <c r="L11" s="37"/>
      <c r="M11" s="39"/>
      <c r="N11" s="39"/>
      <c r="O11" s="22"/>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12" customFormat="1" ht="14.4" customHeight="1" x14ac:dyDescent="0.3">
      <c r="A12" s="1"/>
      <c r="B12" s="1"/>
      <c r="C12" s="1"/>
      <c r="D12" s="1"/>
      <c r="E12" s="1"/>
      <c r="F12" s="1"/>
      <c r="G12" s="1"/>
      <c r="H12" s="1"/>
      <c r="I12" s="1"/>
      <c r="J12" s="1"/>
      <c r="K12" s="1"/>
      <c r="L12" s="37"/>
      <c r="M12" s="39"/>
      <c r="N12" s="39"/>
      <c r="O12" s="22"/>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12" customFormat="1" ht="14.4" customHeight="1" x14ac:dyDescent="0.3">
      <c r="A13" s="1"/>
      <c r="B13" s="1"/>
      <c r="C13" s="1"/>
      <c r="D13" s="1"/>
      <c r="E13" s="1"/>
      <c r="F13" s="1"/>
      <c r="G13" s="1"/>
      <c r="H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12" customFormat="1" ht="14.4" customHeight="1" x14ac:dyDescent="0.3">
      <c r="A14" s="1"/>
      <c r="B14" s="1"/>
      <c r="C14" s="1"/>
      <c r="D14" s="1"/>
      <c r="E14" s="1"/>
      <c r="F14" s="1"/>
      <c r="G14" s="1"/>
      <c r="H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12" customFormat="1" ht="14.4"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12" customFormat="1" ht="14.4" customHeight="1" x14ac:dyDescent="0.3">
      <c r="A16" s="1"/>
      <c r="B16" s="1"/>
      <c r="C16" s="1"/>
      <c r="D16" s="1"/>
      <c r="E16" s="1"/>
      <c r="G16" s="1"/>
      <c r="H16" s="38" t="s">
        <v>1</v>
      </c>
      <c r="I16" s="41">
        <f>'Beginning Version'!I16</f>
        <v>42339</v>
      </c>
      <c r="J16" s="1"/>
      <c r="K16" s="1"/>
      <c r="L16" s="1"/>
      <c r="M16" s="1"/>
      <c r="N16" s="1"/>
      <c r="O16" s="1"/>
      <c r="P16" s="1"/>
      <c r="Q16" s="1"/>
      <c r="R16" s="1"/>
      <c r="S16" s="1"/>
      <c r="T16" s="1"/>
      <c r="U16" s="1"/>
      <c r="V16" s="1"/>
      <c r="W16" s="1"/>
      <c r="X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7" s="12" customFormat="1" ht="14.4" customHeight="1" x14ac:dyDescent="0.3">
      <c r="A17" s="1"/>
      <c r="B17" s="1"/>
      <c r="C17" s="1"/>
      <c r="D17" s="1"/>
      <c r="E17" s="1"/>
      <c r="G17" s="1"/>
      <c r="H17" s="38" t="s">
        <v>2</v>
      </c>
      <c r="I17" s="1309" t="str">
        <f>'Beginning Version'!I17:K17</f>
        <v>1,200 Sow Example Farm</v>
      </c>
      <c r="J17" s="1310"/>
      <c r="K17" s="1311"/>
      <c r="L17" s="37"/>
      <c r="M17" s="39"/>
      <c r="N17" s="39"/>
      <c r="O17" s="22"/>
      <c r="P17" s="1"/>
      <c r="Q17" s="1"/>
      <c r="R17" s="1"/>
      <c r="S17" s="1"/>
      <c r="T17" s="1"/>
      <c r="U17" s="1"/>
      <c r="V17" s="1"/>
      <c r="W17" s="1"/>
      <c r="X17" s="1"/>
      <c r="Z17" s="827"/>
      <c r="AA17" s="827"/>
      <c r="AB17" s="827"/>
      <c r="AC17" s="827"/>
      <c r="AD17" s="827"/>
      <c r="AE17" s="827"/>
      <c r="AF17" s="827"/>
      <c r="AG17" s="827"/>
      <c r="AH17" s="827"/>
      <c r="AI17" s="827"/>
      <c r="AJ17" s="827"/>
      <c r="AK17" s="827"/>
      <c r="AL17" s="827"/>
      <c r="AM17" s="827"/>
      <c r="AN17" s="827"/>
      <c r="AO17" s="827"/>
      <c r="AP17" s="827"/>
      <c r="AQ17" s="827"/>
      <c r="AR17" s="827"/>
      <c r="AS17" s="827"/>
      <c r="AT17" s="827"/>
      <c r="AU17" s="827"/>
      <c r="AV17" s="827"/>
      <c r="AW17" s="827"/>
      <c r="AX17" s="827"/>
      <c r="AY17" s="827"/>
      <c r="AZ17" s="827"/>
      <c r="BA17" s="825"/>
      <c r="BB17" s="825"/>
      <c r="BC17" s="825"/>
      <c r="BD17" s="825"/>
      <c r="BE17" s="825"/>
    </row>
    <row r="18" spans="1:57" s="12" customFormat="1" ht="14.4" customHeight="1" x14ac:dyDescent="0.3">
      <c r="A18" s="1"/>
      <c r="B18" s="1"/>
      <c r="C18" s="1"/>
      <c r="D18" s="1"/>
      <c r="E18" s="1"/>
      <c r="G18" s="1"/>
      <c r="H18" s="38" t="s">
        <v>232</v>
      </c>
      <c r="I18" s="1309" t="str">
        <f>'Beginning Version'!I18:K18</f>
        <v>Default Values</v>
      </c>
      <c r="J18" s="1310"/>
      <c r="K18" s="1311"/>
      <c r="L18" s="37"/>
      <c r="M18" s="39"/>
      <c r="N18" s="39"/>
      <c r="O18" s="22"/>
      <c r="P18" s="1"/>
      <c r="Q18" s="1"/>
      <c r="R18" s="1"/>
      <c r="S18" s="1"/>
      <c r="T18" s="1"/>
      <c r="U18" s="1"/>
      <c r="V18" s="1"/>
      <c r="W18" s="1"/>
      <c r="X18" s="1"/>
      <c r="Z18" s="827"/>
      <c r="AA18" s="827"/>
      <c r="AB18" s="827"/>
      <c r="AC18" s="827"/>
      <c r="AD18" s="827"/>
      <c r="AE18" s="827"/>
      <c r="AF18" s="827"/>
      <c r="AG18" s="827"/>
      <c r="AH18" s="827"/>
      <c r="AI18" s="827"/>
      <c r="AJ18" s="827"/>
      <c r="AK18" s="827"/>
      <c r="AL18" s="827"/>
      <c r="AM18" s="827"/>
      <c r="AN18" s="827"/>
      <c r="AO18" s="827"/>
      <c r="AP18" s="827"/>
      <c r="AQ18" s="827"/>
      <c r="AR18" s="827"/>
      <c r="AS18" s="827"/>
      <c r="AT18" s="827"/>
      <c r="AU18" s="827"/>
      <c r="AV18" s="827"/>
      <c r="AW18" s="827"/>
      <c r="AX18" s="827"/>
      <c r="AY18" s="827"/>
      <c r="AZ18" s="827"/>
      <c r="BA18" s="825"/>
      <c r="BB18" s="825"/>
      <c r="BC18" s="825"/>
      <c r="BD18" s="825"/>
      <c r="BE18" s="825"/>
    </row>
    <row r="19" spans="1:57" s="12" customFormat="1" ht="14.4" customHeight="1" x14ac:dyDescent="0.3">
      <c r="A19" s="1"/>
      <c r="B19" s="1"/>
      <c r="C19" s="1"/>
      <c r="D19" s="1"/>
      <c r="E19" s="1"/>
      <c r="F19" s="1"/>
      <c r="G19" s="1"/>
      <c r="H19" s="1"/>
      <c r="J19" s="1"/>
      <c r="K19" s="1"/>
      <c r="L19" s="1"/>
      <c r="M19" s="38"/>
      <c r="N19" s="38"/>
      <c r="Z19" s="827"/>
      <c r="AA19" s="827"/>
      <c r="AB19" s="827"/>
      <c r="AC19" s="827"/>
      <c r="AD19" s="827"/>
      <c r="AE19" s="827"/>
      <c r="AF19" s="827"/>
      <c r="AG19" s="827"/>
      <c r="AH19" s="827"/>
      <c r="AI19" s="827"/>
      <c r="AJ19" s="827"/>
      <c r="AK19" s="827"/>
      <c r="AL19" s="827"/>
      <c r="AM19" s="827"/>
      <c r="AN19" s="827"/>
      <c r="AO19" s="827"/>
      <c r="AP19" s="827"/>
      <c r="AQ19" s="827"/>
      <c r="AR19" s="827"/>
      <c r="AS19" s="827"/>
      <c r="AT19" s="827"/>
      <c r="AU19" s="827"/>
      <c r="AV19" s="827"/>
      <c r="AW19" s="827"/>
      <c r="AX19" s="827"/>
      <c r="AY19" s="827"/>
      <c r="AZ19" s="827"/>
      <c r="BA19" s="825"/>
      <c r="BB19" s="825"/>
      <c r="BC19" s="825"/>
      <c r="BD19" s="825"/>
      <c r="BE19" s="825"/>
    </row>
    <row r="20" spans="1:57" s="12" customFormat="1" ht="14.4" customHeight="1" x14ac:dyDescent="0.3">
      <c r="A20" s="1"/>
      <c r="B20" s="42" t="s">
        <v>223</v>
      </c>
      <c r="C20" s="1"/>
      <c r="D20" s="43"/>
      <c r="E20" s="43"/>
      <c r="F20" s="43"/>
      <c r="G20" s="43"/>
      <c r="H20" s="1"/>
      <c r="I20" s="1"/>
      <c r="J20" s="1"/>
      <c r="K20" s="1"/>
      <c r="L20" s="37"/>
      <c r="M20" s="38"/>
      <c r="N20" s="38"/>
      <c r="Z20" s="827"/>
      <c r="AA20" s="827"/>
      <c r="AB20" s="827"/>
      <c r="AC20" s="827"/>
      <c r="AD20" s="827"/>
      <c r="AE20" s="827"/>
      <c r="AF20" s="827"/>
      <c r="AG20" s="827"/>
      <c r="AH20" s="827"/>
      <c r="AI20" s="827"/>
      <c r="AJ20" s="827"/>
      <c r="AK20" s="827"/>
      <c r="AL20" s="827"/>
      <c r="AM20" s="827"/>
      <c r="AN20" s="827"/>
      <c r="AO20" s="827"/>
      <c r="AP20" s="827"/>
      <c r="AQ20" s="827"/>
      <c r="AR20" s="827"/>
      <c r="AS20" s="827"/>
      <c r="AT20" s="827"/>
      <c r="AU20" s="827"/>
      <c r="AV20" s="827"/>
      <c r="AW20" s="827"/>
      <c r="AX20" s="827"/>
      <c r="AY20" s="827"/>
      <c r="AZ20" s="827"/>
      <c r="BA20" s="825"/>
      <c r="BB20" s="825"/>
      <c r="BC20" s="825"/>
      <c r="BD20" s="825"/>
      <c r="BE20" s="825"/>
    </row>
    <row r="21" spans="1:57" s="12" customFormat="1" ht="14.4" customHeight="1" x14ac:dyDescent="0.3">
      <c r="A21" s="1326" t="s">
        <v>240</v>
      </c>
      <c r="B21" s="1327"/>
      <c r="C21" s="826"/>
      <c r="D21" s="43"/>
      <c r="E21" s="43"/>
      <c r="F21" s="43"/>
      <c r="G21" s="43"/>
      <c r="H21" s="1" t="s">
        <v>194</v>
      </c>
      <c r="I21" s="44">
        <f>'Beginning Version'!I21</f>
        <v>1200</v>
      </c>
      <c r="J21" s="45" t="s">
        <v>193</v>
      </c>
      <c r="K21" s="46"/>
      <c r="L21" s="47"/>
      <c r="M21" s="48"/>
      <c r="N21" s="49"/>
      <c r="Z21" s="827"/>
      <c r="AA21" s="827"/>
      <c r="AB21" s="827"/>
      <c r="AC21" s="827"/>
      <c r="AD21" s="827"/>
      <c r="AE21" s="827"/>
      <c r="AF21" s="827"/>
      <c r="AG21" s="827"/>
      <c r="AH21" s="827"/>
      <c r="AI21" s="828">
        <f>O58</f>
        <v>1200</v>
      </c>
      <c r="AJ21" s="828"/>
      <c r="AK21" s="829">
        <f>Q58</f>
        <v>1200</v>
      </c>
      <c r="AL21" s="829"/>
      <c r="AM21" s="830">
        <f>S58</f>
        <v>1200</v>
      </c>
      <c r="AN21" s="830"/>
      <c r="AO21" s="831">
        <f>U58</f>
        <v>1200</v>
      </c>
      <c r="AP21" s="831"/>
      <c r="AQ21" s="832">
        <f>W58</f>
        <v>1200</v>
      </c>
      <c r="AR21" s="833"/>
      <c r="AS21" s="827"/>
      <c r="AT21" s="827"/>
      <c r="AU21" s="827"/>
      <c r="AV21" s="827"/>
      <c r="AW21" s="827"/>
      <c r="AX21" s="827"/>
      <c r="AY21" s="827"/>
      <c r="AZ21" s="827"/>
      <c r="BA21" s="825"/>
      <c r="BB21" s="825"/>
      <c r="BC21" s="825"/>
      <c r="BD21" s="825"/>
      <c r="BE21" s="825"/>
    </row>
    <row r="22" spans="1:57" s="12" customFormat="1" ht="14.4" customHeight="1" x14ac:dyDescent="0.3">
      <c r="A22" s="890" t="s">
        <v>259</v>
      </c>
      <c r="B22" s="891"/>
      <c r="C22" s="891"/>
      <c r="D22" s="891"/>
      <c r="E22" s="891"/>
      <c r="F22" s="891"/>
      <c r="G22" s="892"/>
      <c r="H22" s="1" t="s">
        <v>195</v>
      </c>
      <c r="I22" s="44">
        <f>'Beginning Version'!I22</f>
        <v>28800</v>
      </c>
      <c r="J22" s="56" t="s">
        <v>75</v>
      </c>
      <c r="K22" s="22"/>
      <c r="L22" s="57"/>
      <c r="M22" s="39"/>
      <c r="N22" s="58"/>
      <c r="Z22" s="827"/>
      <c r="AA22" s="827"/>
      <c r="AB22" s="827"/>
      <c r="AC22" s="827"/>
      <c r="AD22" s="827"/>
      <c r="AE22" s="827"/>
      <c r="AF22" s="827"/>
      <c r="AG22" s="827"/>
      <c r="AH22" s="827"/>
      <c r="AI22" s="834">
        <f>O61</f>
        <v>28800</v>
      </c>
      <c r="AJ22" s="835"/>
      <c r="AK22" s="836">
        <f>Q61</f>
        <v>28800</v>
      </c>
      <c r="AL22" s="837"/>
      <c r="AM22" s="838">
        <f>S61</f>
        <v>28800</v>
      </c>
      <c r="AN22" s="839"/>
      <c r="AO22" s="840">
        <f>U61</f>
        <v>28800</v>
      </c>
      <c r="AP22" s="841"/>
      <c r="AQ22" s="842">
        <f>W61</f>
        <v>28800</v>
      </c>
      <c r="AR22" s="843"/>
      <c r="AS22" s="827"/>
      <c r="AT22" s="827"/>
      <c r="AU22" s="827"/>
      <c r="AV22" s="827"/>
      <c r="AW22" s="827"/>
      <c r="AX22" s="827"/>
      <c r="AY22" s="827"/>
      <c r="AZ22" s="827"/>
      <c r="BA22" s="825"/>
      <c r="BB22" s="825"/>
      <c r="BC22" s="825"/>
      <c r="BD22" s="825"/>
      <c r="BE22" s="825"/>
    </row>
    <row r="23" spans="1:57" s="12" customFormat="1" ht="14.4" customHeight="1" x14ac:dyDescent="0.3">
      <c r="A23" s="1330" t="s">
        <v>244</v>
      </c>
      <c r="B23" s="1331"/>
      <c r="C23" s="1331"/>
      <c r="D23" s="1331"/>
      <c r="E23" s="1331"/>
      <c r="F23" s="1331"/>
      <c r="G23" s="1332"/>
      <c r="H23" s="1" t="s">
        <v>196</v>
      </c>
      <c r="I23" s="70">
        <f>'Beginning Version'!I23</f>
        <v>11.84</v>
      </c>
      <c r="J23" s="71" t="s">
        <v>116</v>
      </c>
      <c r="K23" s="72"/>
      <c r="L23" s="73"/>
      <c r="M23" s="74"/>
      <c r="N23" s="75"/>
      <c r="P23" s="76" t="s">
        <v>157</v>
      </c>
      <c r="Z23" s="827"/>
      <c r="AA23" s="827"/>
      <c r="AB23" s="827"/>
      <c r="AC23" s="827"/>
      <c r="AD23" s="827"/>
      <c r="AE23" s="827"/>
      <c r="AF23" s="827"/>
      <c r="AG23" s="827"/>
      <c r="AH23" s="827"/>
      <c r="AI23" s="844">
        <f>O63</f>
        <v>11.84</v>
      </c>
      <c r="AJ23" s="845"/>
      <c r="AK23" s="846">
        <f>Q63</f>
        <v>11.84</v>
      </c>
      <c r="AL23" s="847"/>
      <c r="AM23" s="848">
        <f>S63</f>
        <v>11.84</v>
      </c>
      <c r="AN23" s="849"/>
      <c r="AO23" s="850">
        <f>U63</f>
        <v>11.84</v>
      </c>
      <c r="AP23" s="851"/>
      <c r="AQ23" s="852">
        <f>W63</f>
        <v>11.84</v>
      </c>
      <c r="AR23" s="853"/>
      <c r="AS23" s="827"/>
      <c r="AT23" s="827"/>
      <c r="AU23" s="827"/>
      <c r="AV23" s="827"/>
      <c r="AW23" s="827"/>
      <c r="AX23" s="827"/>
      <c r="AY23" s="827"/>
      <c r="AZ23" s="827"/>
      <c r="BA23" s="825"/>
      <c r="BB23" s="825"/>
      <c r="BC23" s="825"/>
      <c r="BD23" s="825"/>
      <c r="BE23" s="825"/>
    </row>
    <row r="24" spans="1:57" s="12" customFormat="1" ht="14.4" customHeight="1" x14ac:dyDescent="0.3">
      <c r="A24" s="1330" t="s">
        <v>241</v>
      </c>
      <c r="B24" s="1331"/>
      <c r="C24" s="1331"/>
      <c r="D24" s="1331"/>
      <c r="E24" s="1331"/>
      <c r="F24" s="1331"/>
      <c r="G24" s="1332"/>
      <c r="H24" s="1" t="s">
        <v>197</v>
      </c>
      <c r="I24" s="87">
        <f>I22/I21</f>
        <v>24</v>
      </c>
      <c r="J24" s="88" t="s">
        <v>100</v>
      </c>
      <c r="K24" s="46"/>
      <c r="L24" s="47"/>
      <c r="M24" s="48"/>
      <c r="N24" s="49"/>
      <c r="P24" s="89" t="s">
        <v>133</v>
      </c>
      <c r="Z24" s="827"/>
      <c r="AA24" s="827"/>
      <c r="AB24" s="827"/>
      <c r="AC24" s="827"/>
      <c r="AD24" s="827"/>
      <c r="AE24" s="827"/>
      <c r="AF24" s="827"/>
      <c r="AG24" s="827"/>
      <c r="AH24" s="827"/>
      <c r="AI24" s="854">
        <f>O62</f>
        <v>24</v>
      </c>
      <c r="AJ24" s="855"/>
      <c r="AK24" s="856">
        <f>Q62</f>
        <v>24</v>
      </c>
      <c r="AL24" s="857"/>
      <c r="AM24" s="858">
        <f>S62</f>
        <v>24</v>
      </c>
      <c r="AN24" s="859"/>
      <c r="AO24" s="860">
        <f>U62</f>
        <v>24</v>
      </c>
      <c r="AP24" s="861"/>
      <c r="AQ24" s="862">
        <f>W62</f>
        <v>24</v>
      </c>
      <c r="AR24" s="833"/>
      <c r="AS24" s="827"/>
      <c r="AT24" s="827"/>
      <c r="AU24" s="827"/>
      <c r="AV24" s="827"/>
      <c r="AW24" s="827"/>
      <c r="AX24" s="827"/>
      <c r="AY24" s="827"/>
      <c r="AZ24" s="827"/>
      <c r="BA24" s="825"/>
      <c r="BB24" s="825"/>
      <c r="BC24" s="825"/>
      <c r="BD24" s="825"/>
      <c r="BE24" s="825"/>
    </row>
    <row r="25" spans="1:57" s="12" customFormat="1" ht="14.4" customHeight="1" x14ac:dyDescent="0.3">
      <c r="A25" s="1330" t="s">
        <v>242</v>
      </c>
      <c r="B25" s="1331"/>
      <c r="C25" s="1331"/>
      <c r="D25" s="1331"/>
      <c r="E25" s="1331"/>
      <c r="F25" s="1331"/>
      <c r="G25" s="1332"/>
      <c r="H25" s="1" t="s">
        <v>198</v>
      </c>
      <c r="I25" s="100">
        <f>I26/(365/7)</f>
        <v>46.64938911514254</v>
      </c>
      <c r="J25" s="22" t="s">
        <v>67</v>
      </c>
      <c r="K25" s="22"/>
      <c r="L25" s="57"/>
      <c r="M25" s="39"/>
      <c r="N25" s="58"/>
      <c r="P25" s="12" t="s">
        <v>140</v>
      </c>
      <c r="Z25" s="827"/>
      <c r="AA25" s="827"/>
      <c r="AB25" s="827"/>
      <c r="AC25" s="827"/>
      <c r="AD25" s="827"/>
      <c r="AE25" s="827"/>
      <c r="AF25" s="827"/>
      <c r="AG25" s="827"/>
      <c r="AH25" s="827"/>
      <c r="AI25" s="863">
        <f>AI26/(365/7)</f>
        <v>46.64938911514254</v>
      </c>
      <c r="AJ25" s="835"/>
      <c r="AK25" s="864">
        <f>AK26/(365/7)</f>
        <v>46.64938911514254</v>
      </c>
      <c r="AL25" s="837"/>
      <c r="AM25" s="865">
        <f>AM26/(365/7)</f>
        <v>46.64938911514254</v>
      </c>
      <c r="AN25" s="839"/>
      <c r="AO25" s="866">
        <f>AO26/(365/7)</f>
        <v>46.64938911514254</v>
      </c>
      <c r="AP25" s="841"/>
      <c r="AQ25" s="867">
        <f>AQ26/(365/7)</f>
        <v>46.64938911514254</v>
      </c>
      <c r="AR25" s="843"/>
      <c r="AS25" s="827"/>
      <c r="AT25" s="827"/>
      <c r="AU25" s="827"/>
      <c r="AV25" s="827"/>
      <c r="AW25" s="827"/>
      <c r="AX25" s="827"/>
      <c r="AY25" s="827"/>
      <c r="AZ25" s="827"/>
      <c r="BA25" s="825"/>
      <c r="BB25" s="825"/>
      <c r="BC25" s="825"/>
      <c r="BD25" s="825"/>
      <c r="BE25" s="825"/>
    </row>
    <row r="26" spans="1:57" s="12" customFormat="1" ht="14.4" customHeight="1" x14ac:dyDescent="0.3">
      <c r="A26" s="1330" t="s">
        <v>245</v>
      </c>
      <c r="B26" s="1331"/>
      <c r="C26" s="1331"/>
      <c r="D26" s="1331"/>
      <c r="E26" s="1331"/>
      <c r="F26" s="1331"/>
      <c r="G26" s="1332"/>
      <c r="H26" s="1" t="s">
        <v>199</v>
      </c>
      <c r="I26" s="106">
        <f>I22/I23</f>
        <v>2432.4324324324325</v>
      </c>
      <c r="J26" s="71" t="s">
        <v>81</v>
      </c>
      <c r="K26" s="72"/>
      <c r="L26" s="73"/>
      <c r="M26" s="74"/>
      <c r="N26" s="75"/>
      <c r="P26" s="12" t="s">
        <v>156</v>
      </c>
      <c r="Z26" s="827"/>
      <c r="AA26" s="827"/>
      <c r="AB26" s="827"/>
      <c r="AC26" s="827"/>
      <c r="AD26" s="827"/>
      <c r="AE26" s="827"/>
      <c r="AF26" s="827"/>
      <c r="AG26" s="827"/>
      <c r="AH26" s="827"/>
      <c r="AI26" s="868">
        <f>AI22/AI23</f>
        <v>2432.4324324324325</v>
      </c>
      <c r="AJ26" s="845"/>
      <c r="AK26" s="869">
        <f>AK22/AK23</f>
        <v>2432.4324324324325</v>
      </c>
      <c r="AL26" s="847"/>
      <c r="AM26" s="870">
        <f>AM22/AM23</f>
        <v>2432.4324324324325</v>
      </c>
      <c r="AN26" s="849"/>
      <c r="AO26" s="871">
        <f>AO22/AO23</f>
        <v>2432.4324324324325</v>
      </c>
      <c r="AP26" s="851"/>
      <c r="AQ26" s="872">
        <f>AQ22/AQ23</f>
        <v>2432.4324324324325</v>
      </c>
      <c r="AR26" s="853"/>
      <c r="AS26" s="827"/>
      <c r="AT26" s="827"/>
      <c r="AU26" s="827"/>
      <c r="AV26" s="827"/>
      <c r="AW26" s="827"/>
      <c r="AX26" s="827"/>
      <c r="AY26" s="827"/>
      <c r="AZ26" s="827"/>
      <c r="BA26" s="825"/>
      <c r="BB26" s="825"/>
      <c r="BC26" s="825"/>
      <c r="BD26" s="825"/>
      <c r="BE26" s="825"/>
    </row>
    <row r="27" spans="1:57" s="12" customFormat="1" ht="14.4" customHeight="1" x14ac:dyDescent="0.3">
      <c r="A27" s="1330" t="s">
        <v>246</v>
      </c>
      <c r="B27" s="1331"/>
      <c r="C27" s="1331"/>
      <c r="D27" s="1331"/>
      <c r="E27" s="1331"/>
      <c r="F27" s="1331"/>
      <c r="G27" s="1332"/>
      <c r="H27" s="1" t="s">
        <v>200</v>
      </c>
      <c r="I27" s="87">
        <f>I24/I23</f>
        <v>2.0270270270270272</v>
      </c>
      <c r="J27" s="46" t="s">
        <v>121</v>
      </c>
      <c r="K27" s="46"/>
      <c r="L27" s="47"/>
      <c r="M27" s="48"/>
      <c r="N27" s="49"/>
      <c r="P27" s="12" t="s">
        <v>255</v>
      </c>
      <c r="Y27" s="1"/>
      <c r="Z27" s="1"/>
      <c r="AA27" s="1"/>
      <c r="AB27" s="1"/>
      <c r="AC27" s="1"/>
      <c r="AD27" s="1"/>
      <c r="AE27" s="1"/>
      <c r="AF27" s="1"/>
      <c r="AG27" s="1"/>
      <c r="AH27" s="1"/>
      <c r="AI27" s="90">
        <f>AI24/AI23</f>
        <v>2.0270270270270272</v>
      </c>
      <c r="AJ27" s="91"/>
      <c r="AK27" s="92">
        <f>AK24/AK23</f>
        <v>2.0270270270270272</v>
      </c>
      <c r="AL27" s="93"/>
      <c r="AM27" s="94">
        <f>AM24/AM23</f>
        <v>2.0270270270270272</v>
      </c>
      <c r="AN27" s="95"/>
      <c r="AO27" s="96">
        <f>AO24/AO23</f>
        <v>2.0270270270270272</v>
      </c>
      <c r="AP27" s="97"/>
      <c r="AQ27" s="98">
        <f>AQ24/AQ23</f>
        <v>2.0270270270270272</v>
      </c>
      <c r="AR27" s="99"/>
      <c r="AS27" s="1"/>
      <c r="AT27" s="1"/>
      <c r="AU27" s="1"/>
      <c r="AV27" s="1"/>
      <c r="AW27" s="1"/>
      <c r="AX27" s="1"/>
      <c r="AY27" s="1"/>
      <c r="AZ27" s="1"/>
    </row>
    <row r="28" spans="1:57" s="12" customFormat="1" ht="14.4" customHeight="1" x14ac:dyDescent="0.3">
      <c r="A28" s="1330" t="s">
        <v>243</v>
      </c>
      <c r="B28" s="1331"/>
      <c r="C28" s="1331"/>
      <c r="D28" s="1331"/>
      <c r="E28" s="1331"/>
      <c r="F28" s="1331"/>
      <c r="G28" s="1332"/>
      <c r="H28" s="1" t="s">
        <v>201</v>
      </c>
      <c r="I28" s="112">
        <f>'Beginning Version'!I28</f>
        <v>0.86</v>
      </c>
      <c r="J28" s="56" t="s">
        <v>59</v>
      </c>
      <c r="K28" s="22"/>
      <c r="L28" s="57"/>
      <c r="M28" s="39"/>
      <c r="N28" s="58"/>
      <c r="P28" s="113" t="s">
        <v>160</v>
      </c>
      <c r="Q28" s="12" t="s">
        <v>177</v>
      </c>
      <c r="Y28" s="827"/>
      <c r="Z28" s="1"/>
      <c r="AA28" s="1"/>
      <c r="AB28" s="1"/>
      <c r="AC28" s="1"/>
      <c r="AD28" s="1"/>
      <c r="AE28" s="1"/>
      <c r="AF28" s="1"/>
      <c r="AG28" s="1"/>
      <c r="AH28" s="1"/>
      <c r="AI28" s="114">
        <f>$I28</f>
        <v>0.86</v>
      </c>
      <c r="AJ28" s="60"/>
      <c r="AK28" s="115">
        <f>$I28</f>
        <v>0.86</v>
      </c>
      <c r="AL28" s="62"/>
      <c r="AM28" s="116">
        <f>$I28</f>
        <v>0.86</v>
      </c>
      <c r="AN28" s="64"/>
      <c r="AO28" s="117">
        <f>$I28</f>
        <v>0.86</v>
      </c>
      <c r="AP28" s="66"/>
      <c r="AQ28" s="118">
        <f>$I28</f>
        <v>0.86</v>
      </c>
      <c r="AR28" s="68"/>
      <c r="AS28" s="1"/>
      <c r="AT28" s="1"/>
      <c r="AU28" s="1"/>
      <c r="AV28" s="1"/>
      <c r="AW28" s="1"/>
      <c r="AX28" s="1"/>
      <c r="AY28" s="1"/>
      <c r="AZ28" s="1"/>
    </row>
    <row r="29" spans="1:57" s="12" customFormat="1" ht="14.4" customHeight="1" x14ac:dyDescent="0.3">
      <c r="A29" s="1330" t="s">
        <v>247</v>
      </c>
      <c r="B29" s="1331"/>
      <c r="C29" s="1331"/>
      <c r="D29" s="1331"/>
      <c r="E29" s="1331"/>
      <c r="F29" s="1331"/>
      <c r="G29" s="1332"/>
      <c r="H29" s="1" t="s">
        <v>202</v>
      </c>
      <c r="I29" s="44">
        <f>'Beginning Version'!I29</f>
        <v>115</v>
      </c>
      <c r="J29" s="71" t="s">
        <v>62</v>
      </c>
      <c r="K29" s="72"/>
      <c r="L29" s="73"/>
      <c r="M29" s="74"/>
      <c r="N29" s="75"/>
      <c r="P29" s="113" t="s">
        <v>161</v>
      </c>
      <c r="Q29" s="12" t="s">
        <v>178</v>
      </c>
      <c r="Y29" s="826"/>
      <c r="Z29" s="1"/>
      <c r="AA29" s="1"/>
      <c r="AB29" s="1"/>
      <c r="AC29" s="1"/>
      <c r="AD29" s="1"/>
      <c r="AE29" s="1"/>
      <c r="AF29" s="1"/>
      <c r="AG29" s="1"/>
      <c r="AH29" s="1"/>
      <c r="AI29" s="119">
        <f>$I29</f>
        <v>115</v>
      </c>
      <c r="AJ29" s="78"/>
      <c r="AK29" s="120">
        <f>$I29</f>
        <v>115</v>
      </c>
      <c r="AL29" s="80"/>
      <c r="AM29" s="121">
        <f>$I29</f>
        <v>115</v>
      </c>
      <c r="AN29" s="82"/>
      <c r="AO29" s="122">
        <f>$I29</f>
        <v>115</v>
      </c>
      <c r="AP29" s="84"/>
      <c r="AQ29" s="123">
        <f>$I29</f>
        <v>115</v>
      </c>
      <c r="AR29" s="86"/>
      <c r="AS29" s="1"/>
      <c r="AT29" s="1"/>
      <c r="AU29" s="1"/>
      <c r="AV29" s="1"/>
      <c r="AW29" s="1"/>
      <c r="AX29" s="1"/>
      <c r="AY29" s="1"/>
      <c r="AZ29" s="1"/>
    </row>
    <row r="30" spans="1:57" s="12" customFormat="1" ht="14.4" customHeight="1" x14ac:dyDescent="0.3">
      <c r="A30" s="1330" t="s">
        <v>248</v>
      </c>
      <c r="B30" s="1331"/>
      <c r="C30" s="1331"/>
      <c r="D30" s="1331"/>
      <c r="E30" s="1331"/>
      <c r="F30" s="1331"/>
      <c r="G30" s="1332"/>
      <c r="H30" s="1" t="s">
        <v>203</v>
      </c>
      <c r="I30" s="44">
        <f>'Beginning Version'!I30</f>
        <v>21</v>
      </c>
      <c r="J30" s="45" t="s">
        <v>57</v>
      </c>
      <c r="K30" s="46"/>
      <c r="L30" s="47"/>
      <c r="M30" s="48"/>
      <c r="N30" s="49"/>
      <c r="P30" s="113" t="s">
        <v>162</v>
      </c>
      <c r="Q30" s="12" t="s">
        <v>152</v>
      </c>
      <c r="Y30" s="1"/>
      <c r="Z30" s="1"/>
      <c r="AA30" s="1"/>
      <c r="AB30" s="1"/>
      <c r="AC30" s="1"/>
      <c r="AD30" s="1"/>
      <c r="AE30" s="1"/>
      <c r="AF30" s="1"/>
      <c r="AG30" s="1"/>
      <c r="AH30" s="1"/>
      <c r="AI30" s="124">
        <f>$I30</f>
        <v>21</v>
      </c>
      <c r="AJ30" s="91"/>
      <c r="AK30" s="125">
        <f>$I30</f>
        <v>21</v>
      </c>
      <c r="AL30" s="93"/>
      <c r="AM30" s="126">
        <f>$I30</f>
        <v>21</v>
      </c>
      <c r="AN30" s="95"/>
      <c r="AO30" s="127">
        <f>$I30</f>
        <v>21</v>
      </c>
      <c r="AP30" s="97"/>
      <c r="AQ30" s="128">
        <f>$I30</f>
        <v>21</v>
      </c>
      <c r="AR30" s="99"/>
      <c r="AS30" s="1"/>
      <c r="AT30" s="1"/>
      <c r="AU30" s="1"/>
      <c r="AV30" s="1"/>
      <c r="AW30" s="1"/>
      <c r="AX30" s="1"/>
      <c r="AY30" s="1"/>
      <c r="AZ30" s="1"/>
    </row>
    <row r="31" spans="1:57" s="12" customFormat="1" ht="14.4" customHeight="1" x14ac:dyDescent="0.3">
      <c r="A31" s="1345" t="s">
        <v>249</v>
      </c>
      <c r="B31" s="1346"/>
      <c r="C31" s="1346"/>
      <c r="D31" s="1346"/>
      <c r="E31" s="1346"/>
      <c r="F31" s="1346"/>
      <c r="G31" s="1347"/>
      <c r="H31" s="1" t="s">
        <v>204</v>
      </c>
      <c r="I31" s="44">
        <f>'Beginning Version'!I31</f>
        <v>39</v>
      </c>
      <c r="J31" s="56" t="s">
        <v>60</v>
      </c>
      <c r="K31" s="22"/>
      <c r="L31" s="57"/>
      <c r="M31" s="39"/>
      <c r="N31" s="58"/>
      <c r="P31" s="113" t="s">
        <v>163</v>
      </c>
      <c r="Q31" s="12" t="s">
        <v>153</v>
      </c>
      <c r="Y31" s="1"/>
      <c r="Z31" s="1"/>
      <c r="AA31" s="1"/>
      <c r="AB31" s="1"/>
      <c r="AC31" s="1"/>
      <c r="AD31" s="1"/>
      <c r="AE31" s="1"/>
      <c r="AF31" s="1"/>
      <c r="AG31" s="1"/>
      <c r="AH31" s="1"/>
      <c r="AI31" s="59">
        <f>O59</f>
        <v>39</v>
      </c>
      <c r="AJ31" s="60"/>
      <c r="AK31" s="61">
        <f>Q59</f>
        <v>39</v>
      </c>
      <c r="AL31" s="62"/>
      <c r="AM31" s="63">
        <f>S59</f>
        <v>39</v>
      </c>
      <c r="AN31" s="64"/>
      <c r="AO31" s="65">
        <f>U59</f>
        <v>39</v>
      </c>
      <c r="AP31" s="66"/>
      <c r="AQ31" s="67">
        <f>W59</f>
        <v>39</v>
      </c>
      <c r="AR31" s="68"/>
      <c r="AS31" s="1"/>
      <c r="AT31" s="1"/>
      <c r="AU31" s="1"/>
      <c r="AV31" s="1"/>
      <c r="AW31" s="1"/>
      <c r="AX31" s="1"/>
      <c r="AY31" s="1"/>
      <c r="AZ31" s="1"/>
    </row>
    <row r="32" spans="1:57" s="12" customFormat="1" ht="14.4" customHeight="1" x14ac:dyDescent="0.3">
      <c r="A32" s="1"/>
      <c r="B32" s="1"/>
      <c r="C32" s="1"/>
      <c r="D32" s="1"/>
      <c r="E32" s="1"/>
      <c r="F32" s="1"/>
      <c r="G32" s="1"/>
      <c r="H32" s="1" t="s">
        <v>205</v>
      </c>
      <c r="I32" s="129">
        <f>(365/I27)-I29-I30</f>
        <v>44.066666666666663</v>
      </c>
      <c r="J32" s="130" t="s">
        <v>79</v>
      </c>
      <c r="K32" s="131"/>
      <c r="L32" s="132"/>
      <c r="M32" s="133"/>
      <c r="N32" s="75"/>
      <c r="P32" s="113" t="s">
        <v>164</v>
      </c>
      <c r="Q32" s="12" t="s">
        <v>154</v>
      </c>
      <c r="Y32" s="1"/>
      <c r="Z32" s="1"/>
      <c r="AA32" s="1"/>
      <c r="AB32" s="1"/>
      <c r="AC32" s="1"/>
      <c r="AD32" s="1"/>
      <c r="AE32" s="1"/>
      <c r="AF32" s="1"/>
      <c r="AG32" s="1"/>
      <c r="AH32" s="1"/>
      <c r="AI32" s="134">
        <f>(365/AI27)-AI29-AI30</f>
        <v>44.066666666666663</v>
      </c>
      <c r="AJ32" s="78"/>
      <c r="AK32" s="135">
        <f>(365/AK27)-AK29-AK30</f>
        <v>44.066666666666663</v>
      </c>
      <c r="AL32" s="80"/>
      <c r="AM32" s="136">
        <f>(365/AM27)-AM29-AM30</f>
        <v>44.066666666666663</v>
      </c>
      <c r="AN32" s="82"/>
      <c r="AO32" s="137">
        <f>(365/AO27)-AO29-AO30</f>
        <v>44.066666666666663</v>
      </c>
      <c r="AP32" s="84"/>
      <c r="AQ32" s="138">
        <f>(365/AQ27)-AQ29-AQ30</f>
        <v>44.066666666666663</v>
      </c>
      <c r="AR32" s="86"/>
      <c r="AS32" s="1"/>
      <c r="AT32" s="1"/>
      <c r="AU32" s="1"/>
      <c r="AV32" s="1"/>
      <c r="AW32" s="1"/>
      <c r="AX32" s="1"/>
      <c r="AY32" s="1"/>
      <c r="AZ32" s="1"/>
    </row>
    <row r="33" spans="1:52" s="12" customFormat="1" ht="14.4" customHeight="1" x14ac:dyDescent="0.3">
      <c r="A33" s="1"/>
      <c r="B33" s="1"/>
      <c r="C33" s="1"/>
      <c r="D33" s="1"/>
      <c r="E33" s="1"/>
      <c r="F33" s="40"/>
      <c r="G33" s="40"/>
      <c r="H33" s="1" t="s">
        <v>206</v>
      </c>
      <c r="I33" s="106">
        <f>I29+I30+I32</f>
        <v>180.06666666666666</v>
      </c>
      <c r="J33" s="45" t="s">
        <v>58</v>
      </c>
      <c r="K33" s="46"/>
      <c r="L33" s="47"/>
      <c r="M33" s="48"/>
      <c r="N33" s="49"/>
      <c r="P33" s="113" t="s">
        <v>165</v>
      </c>
      <c r="Q33" s="12" t="s">
        <v>256</v>
      </c>
      <c r="Y33" s="1"/>
      <c r="Z33" s="1"/>
      <c r="AA33" s="1"/>
      <c r="AB33" s="1"/>
      <c r="AC33" s="1"/>
      <c r="AD33" s="1"/>
      <c r="AE33" s="1"/>
      <c r="AF33" s="1"/>
      <c r="AG33" s="1"/>
      <c r="AH33" s="1"/>
      <c r="AI33" s="139">
        <f>AI29+AI30+AI32</f>
        <v>180.06666666666666</v>
      </c>
      <c r="AJ33" s="91"/>
      <c r="AK33" s="140">
        <f>AK29+AK30+AK32</f>
        <v>180.06666666666666</v>
      </c>
      <c r="AL33" s="93"/>
      <c r="AM33" s="141">
        <f>AM29+AM30+AM32</f>
        <v>180.06666666666666</v>
      </c>
      <c r="AN33" s="95"/>
      <c r="AO33" s="142">
        <f>AO29+AO30+AO32</f>
        <v>180.06666666666666</v>
      </c>
      <c r="AP33" s="97"/>
      <c r="AQ33" s="143">
        <f>AQ29+AQ30+AQ32</f>
        <v>180.06666666666666</v>
      </c>
      <c r="AR33" s="99"/>
      <c r="AS33" s="1"/>
      <c r="AT33" s="1"/>
      <c r="AU33" s="1"/>
      <c r="AV33" s="1"/>
      <c r="AW33" s="1"/>
      <c r="AX33" s="1"/>
      <c r="AY33" s="1"/>
      <c r="AZ33" s="1"/>
    </row>
    <row r="34" spans="1:52" s="12" customFormat="1" ht="14.4" customHeight="1" x14ac:dyDescent="0.3">
      <c r="A34" s="1"/>
      <c r="B34" s="1"/>
      <c r="C34" s="1"/>
      <c r="D34" s="1"/>
      <c r="E34" s="1"/>
      <c r="F34" s="40"/>
      <c r="G34" s="40"/>
      <c r="H34" s="1" t="s">
        <v>207</v>
      </c>
      <c r="I34" s="106">
        <f>I30/365*I27*I21</f>
        <v>139.94816734542763</v>
      </c>
      <c r="J34" s="56" t="s">
        <v>61</v>
      </c>
      <c r="K34" s="22"/>
      <c r="L34" s="57"/>
      <c r="M34" s="39"/>
      <c r="N34" s="58"/>
      <c r="P34" s="113" t="s">
        <v>166</v>
      </c>
      <c r="Q34" s="12" t="s">
        <v>172</v>
      </c>
      <c r="Y34" s="1"/>
      <c r="Z34" s="1"/>
      <c r="AA34" s="1"/>
      <c r="AB34" s="1"/>
      <c r="AC34" s="1"/>
      <c r="AD34" s="1"/>
      <c r="AE34" s="1"/>
      <c r="AF34" s="1"/>
      <c r="AG34" s="1"/>
      <c r="AH34" s="1"/>
      <c r="AI34" s="144">
        <f>AI30/365*AI27*AI21</f>
        <v>139.94816734542763</v>
      </c>
      <c r="AJ34" s="60"/>
      <c r="AK34" s="145">
        <f>AK30/365*AK27*AK21</f>
        <v>139.94816734542763</v>
      </c>
      <c r="AL34" s="62"/>
      <c r="AM34" s="146">
        <f>AM30/365*AM27*AM21</f>
        <v>139.94816734542763</v>
      </c>
      <c r="AN34" s="64"/>
      <c r="AO34" s="147">
        <f>AO30/365*AO27*AO21</f>
        <v>139.94816734542763</v>
      </c>
      <c r="AP34" s="66"/>
      <c r="AQ34" s="148">
        <f>AQ30/365*AQ27*AQ21</f>
        <v>139.94816734542763</v>
      </c>
      <c r="AR34" s="68"/>
      <c r="AS34" s="1"/>
      <c r="AT34" s="1"/>
      <c r="AU34" s="1"/>
      <c r="AV34" s="1"/>
      <c r="AW34" s="1"/>
      <c r="AX34" s="1"/>
      <c r="AY34" s="1"/>
      <c r="AZ34" s="1"/>
    </row>
    <row r="35" spans="1:52" s="12" customFormat="1" ht="14.4" customHeight="1" x14ac:dyDescent="0.3">
      <c r="A35" s="1"/>
      <c r="B35" s="1"/>
      <c r="C35" s="1"/>
      <c r="D35" s="1"/>
      <c r="E35" s="149"/>
      <c r="F35" s="40"/>
      <c r="G35" s="40"/>
      <c r="H35" s="1" t="s">
        <v>208</v>
      </c>
      <c r="I35" s="106">
        <f>(I33-I30)*I21*I27/365</f>
        <v>1060.0518326545725</v>
      </c>
      <c r="J35" s="71" t="s">
        <v>91</v>
      </c>
      <c r="K35" s="72"/>
      <c r="L35" s="73"/>
      <c r="M35" s="74"/>
      <c r="N35" s="75"/>
      <c r="P35" s="113" t="s">
        <v>167</v>
      </c>
      <c r="Q35" s="12" t="s">
        <v>173</v>
      </c>
      <c r="Y35" s="1"/>
      <c r="Z35" s="1"/>
      <c r="AA35" s="1"/>
      <c r="AB35" s="1"/>
      <c r="AC35" s="1"/>
      <c r="AD35" s="1"/>
      <c r="AE35" s="1"/>
      <c r="AF35" s="1"/>
      <c r="AG35" s="1"/>
      <c r="AH35" s="1"/>
      <c r="AI35" s="107">
        <f>(AI33-AI30)*AI21*AI27/365</f>
        <v>1060.0518326545725</v>
      </c>
      <c r="AJ35" s="119"/>
      <c r="AK35" s="108">
        <f>(AK33-AK30)*AK21*AK27/365</f>
        <v>1060.0518326545725</v>
      </c>
      <c r="AL35" s="120"/>
      <c r="AM35" s="109">
        <f>(AM33-AM30)*AM21*AM27/365</f>
        <v>1060.0518326545725</v>
      </c>
      <c r="AN35" s="121"/>
      <c r="AO35" s="150">
        <f>(AO33-AO30)*AO21*AO27/365</f>
        <v>1060.0518326545725</v>
      </c>
      <c r="AP35" s="122"/>
      <c r="AQ35" s="111">
        <f>(AQ33-AQ30)*AQ21*AQ27/365</f>
        <v>1060.0518326545725</v>
      </c>
      <c r="AR35" s="86"/>
      <c r="AS35" s="1"/>
      <c r="AT35" s="1"/>
      <c r="AU35" s="1"/>
      <c r="AV35" s="1"/>
      <c r="AW35" s="1"/>
      <c r="AX35" s="1"/>
      <c r="AY35" s="1"/>
      <c r="AZ35" s="1"/>
    </row>
    <row r="36" spans="1:52" s="12" customFormat="1" ht="14.4" customHeight="1" x14ac:dyDescent="0.3">
      <c r="A36" s="1"/>
      <c r="B36" s="1"/>
      <c r="C36" s="1"/>
      <c r="D36" s="1"/>
      <c r="E36" s="151"/>
      <c r="F36" s="1"/>
      <c r="G36" s="1"/>
      <c r="H36" s="1" t="s">
        <v>209</v>
      </c>
      <c r="I36" s="152">
        <f>I21-I34-I37-I38</f>
        <v>727.37504627915564</v>
      </c>
      <c r="J36" s="153" t="s">
        <v>94</v>
      </c>
      <c r="K36" s="154"/>
      <c r="L36" s="155"/>
      <c r="M36" s="48"/>
      <c r="N36" s="49"/>
      <c r="P36" s="113" t="s">
        <v>168</v>
      </c>
      <c r="Q36" s="12" t="s">
        <v>174</v>
      </c>
      <c r="Y36" s="1"/>
      <c r="Z36" s="1"/>
      <c r="AA36" s="1"/>
      <c r="AB36" s="1"/>
      <c r="AC36" s="1"/>
      <c r="AD36" s="1"/>
      <c r="AE36" s="1"/>
      <c r="AF36" s="1"/>
      <c r="AG36" s="1"/>
      <c r="AH36" s="1"/>
      <c r="AI36" s="156">
        <f>AI21-AI34-AI37-AI38</f>
        <v>727.37504627915564</v>
      </c>
      <c r="AJ36" s="157"/>
      <c r="AK36" s="158">
        <f>AK21-AK34-AK37-AK38</f>
        <v>727.37504627915564</v>
      </c>
      <c r="AL36" s="159"/>
      <c r="AM36" s="160">
        <f>AM21-AM34-AM37-AM38</f>
        <v>727.37504627915564</v>
      </c>
      <c r="AN36" s="161"/>
      <c r="AO36" s="162">
        <f>AO21-AO34-AO37-AO38</f>
        <v>727.37504627915564</v>
      </c>
      <c r="AP36" s="163"/>
      <c r="AQ36" s="164">
        <f>AQ21-AQ34-AQ37-AQ38</f>
        <v>727.37504627915564</v>
      </c>
      <c r="AR36" s="99"/>
      <c r="AS36" s="1"/>
      <c r="AT36" s="1"/>
      <c r="AU36" s="1"/>
      <c r="AV36" s="1"/>
      <c r="AW36" s="1"/>
      <c r="AX36" s="1"/>
      <c r="AY36" s="1"/>
      <c r="AZ36" s="1"/>
    </row>
    <row r="37" spans="1:52" s="12" customFormat="1" ht="14.4" customHeight="1" x14ac:dyDescent="0.3">
      <c r="A37" s="1"/>
      <c r="B37" s="1"/>
      <c r="C37" s="1"/>
      <c r="D37" s="1"/>
      <c r="E37" s="1"/>
      <c r="F37" s="1"/>
      <c r="G37" s="1"/>
      <c r="H37" s="1" t="s">
        <v>210</v>
      </c>
      <c r="I37" s="152">
        <f>(I25*(1+(1-I28)))*(I31/7)</f>
        <v>296.29026286560537</v>
      </c>
      <c r="J37" s="165" t="s">
        <v>120</v>
      </c>
      <c r="K37" s="166"/>
      <c r="L37" s="167"/>
      <c r="M37" s="39"/>
      <c r="N37" s="58"/>
      <c r="P37" s="113" t="s">
        <v>169</v>
      </c>
      <c r="Q37" s="12" t="s">
        <v>175</v>
      </c>
      <c r="Y37" s="1"/>
      <c r="Z37" s="1"/>
      <c r="AA37" s="1"/>
      <c r="AB37" s="1"/>
      <c r="AC37" s="1"/>
      <c r="AD37" s="1"/>
      <c r="AE37" s="1"/>
      <c r="AF37" s="1"/>
      <c r="AG37" s="1"/>
      <c r="AH37" s="1"/>
      <c r="AI37" s="168">
        <f>(AI25*(1+(1-AI28)))*(AI31/7)</f>
        <v>296.29026286560537</v>
      </c>
      <c r="AJ37" s="169"/>
      <c r="AK37" s="170">
        <f>(AK25*(1+(1-AK28)))*(AK31/7)</f>
        <v>296.29026286560537</v>
      </c>
      <c r="AL37" s="171"/>
      <c r="AM37" s="172">
        <f>(AM25*(1+(1-AM28)))*(AM31/7)</f>
        <v>296.29026286560537</v>
      </c>
      <c r="AN37" s="173"/>
      <c r="AO37" s="174">
        <f>(AO25*(1+(1-AO28)))*(AO31/7)</f>
        <v>296.29026286560537</v>
      </c>
      <c r="AP37" s="175"/>
      <c r="AQ37" s="176">
        <f>(AQ25*(1+(1-AQ28)))*(AQ31/7)</f>
        <v>296.29026286560537</v>
      </c>
      <c r="AR37" s="68"/>
      <c r="AS37" s="1"/>
      <c r="AT37" s="1"/>
      <c r="AU37" s="1"/>
      <c r="AV37" s="1"/>
      <c r="AW37" s="1"/>
      <c r="AX37" s="1"/>
      <c r="AY37" s="1"/>
      <c r="AZ37" s="1"/>
    </row>
    <row r="38" spans="1:52" s="12" customFormat="1" ht="14.4" customHeight="1" x14ac:dyDescent="0.3">
      <c r="A38" s="40"/>
      <c r="B38" s="1"/>
      <c r="C38" s="1"/>
      <c r="D38" s="1"/>
      <c r="E38" s="40"/>
      <c r="F38" s="1"/>
      <c r="G38" s="1"/>
      <c r="H38" s="1" t="s">
        <v>211</v>
      </c>
      <c r="I38" s="152">
        <f>(1-I28)*(I31/365*I27*I21)</f>
        <v>36.386523509811191</v>
      </c>
      <c r="J38" s="177" t="s">
        <v>98</v>
      </c>
      <c r="K38" s="178"/>
      <c r="L38" s="179"/>
      <c r="M38" s="74"/>
      <c r="N38" s="75"/>
      <c r="P38" s="113" t="s">
        <v>170</v>
      </c>
      <c r="Q38" s="12" t="s">
        <v>159</v>
      </c>
      <c r="Y38" s="1"/>
      <c r="Z38" s="1"/>
      <c r="AA38" s="1"/>
      <c r="AB38" s="1"/>
      <c r="AC38" s="1"/>
      <c r="AD38" s="1"/>
      <c r="AE38" s="1"/>
      <c r="AF38" s="1"/>
      <c r="AG38" s="1"/>
      <c r="AH38" s="1"/>
      <c r="AI38" s="180">
        <f>(1-AI28)*(AI31/365*AI27*AI21)</f>
        <v>36.386523509811191</v>
      </c>
      <c r="AJ38" s="181"/>
      <c r="AK38" s="182">
        <f>(1-AK28)*(AK31/365*AK27*AK21)</f>
        <v>36.386523509811191</v>
      </c>
      <c r="AL38" s="183"/>
      <c r="AM38" s="184">
        <f>(1-AM28)*(AM31/365*AM27*AM21)</f>
        <v>36.386523509811191</v>
      </c>
      <c r="AN38" s="185"/>
      <c r="AO38" s="186">
        <f>(1-AO28)*(AO31/365*AO27*AO21)</f>
        <v>36.386523509811191</v>
      </c>
      <c r="AP38" s="187"/>
      <c r="AQ38" s="188">
        <f>(1-AQ28)*(AQ31/365*AQ27*AQ21)</f>
        <v>36.386523509811191</v>
      </c>
      <c r="AR38" s="86"/>
      <c r="AS38" s="1"/>
      <c r="AT38" s="1"/>
      <c r="AU38" s="1"/>
      <c r="AV38" s="1"/>
      <c r="AW38" s="1"/>
      <c r="AX38" s="1"/>
      <c r="AY38" s="1"/>
      <c r="AZ38" s="1"/>
    </row>
    <row r="39" spans="1:52" s="12" customFormat="1" ht="14.4" customHeight="1" x14ac:dyDescent="0.3">
      <c r="A39" s="1"/>
      <c r="B39" s="1"/>
      <c r="C39" s="1"/>
      <c r="D39" s="1"/>
      <c r="E39" s="151"/>
      <c r="F39" s="1"/>
      <c r="G39" s="1"/>
      <c r="H39" s="1" t="s">
        <v>212</v>
      </c>
      <c r="I39" s="189">
        <f>I34+I37+I38+I36</f>
        <v>1199.9999999999998</v>
      </c>
      <c r="J39" s="190" t="s">
        <v>78</v>
      </c>
      <c r="K39" s="191"/>
      <c r="L39" s="192"/>
      <c r="M39" s="193"/>
      <c r="N39" s="194"/>
      <c r="P39" s="113" t="s">
        <v>171</v>
      </c>
      <c r="Q39" s="12" t="s">
        <v>176</v>
      </c>
      <c r="R39" s="1"/>
      <c r="S39" s="1"/>
      <c r="Y39" s="1"/>
      <c r="Z39" s="1"/>
      <c r="AA39" s="1"/>
      <c r="AB39" s="1"/>
      <c r="AC39" s="1"/>
      <c r="AD39" s="1"/>
      <c r="AE39" s="1"/>
      <c r="AF39" s="1"/>
      <c r="AG39" s="1"/>
      <c r="AH39" s="1"/>
      <c r="AI39" s="195">
        <f>AI34+AI37+AI38+AI36</f>
        <v>1199.9999999999998</v>
      </c>
      <c r="AJ39" s="196"/>
      <c r="AK39" s="197">
        <f>AK34+AK37+AK38+AK36</f>
        <v>1199.9999999999998</v>
      </c>
      <c r="AL39" s="198"/>
      <c r="AM39" s="199">
        <f>AM34+AM37+AM38+AM36</f>
        <v>1199.9999999999998</v>
      </c>
      <c r="AN39" s="200"/>
      <c r="AO39" s="201">
        <f>AO34+AO37+AO38+AO36</f>
        <v>1199.9999999999998</v>
      </c>
      <c r="AP39" s="202"/>
      <c r="AQ39" s="203">
        <f>AQ34+AQ37+AQ38+AQ36</f>
        <v>1199.9999999999998</v>
      </c>
      <c r="AR39" s="204"/>
      <c r="AS39" s="1"/>
      <c r="AT39" s="1"/>
      <c r="AU39" s="1"/>
      <c r="AV39" s="1"/>
      <c r="AW39" s="1"/>
      <c r="AX39" s="1"/>
      <c r="AY39" s="1"/>
      <c r="AZ39" s="1"/>
    </row>
    <row r="40" spans="1:52" s="12" customFormat="1" ht="14.4" customHeight="1" x14ac:dyDescent="0.3">
      <c r="A40" s="1"/>
      <c r="B40" s="1"/>
      <c r="C40" s="1"/>
      <c r="D40" s="1"/>
      <c r="E40" s="1"/>
      <c r="F40" s="1"/>
      <c r="G40" s="1"/>
      <c r="H40" s="1"/>
      <c r="I40" s="151"/>
      <c r="J40" s="1"/>
      <c r="K40" s="1"/>
      <c r="L40" s="37"/>
      <c r="M40" s="205"/>
      <c r="N40" s="38"/>
      <c r="O40" s="151"/>
      <c r="P40" s="113" t="s">
        <v>180</v>
      </c>
      <c r="Q40" s="1" t="s">
        <v>179</v>
      </c>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s="12" customFormat="1" ht="14.4" customHeight="1" x14ac:dyDescent="0.3">
      <c r="A41" s="1"/>
      <c r="B41" s="42" t="s">
        <v>224</v>
      </c>
      <c r="C41" s="1"/>
      <c r="D41" s="1"/>
      <c r="E41" s="1"/>
      <c r="F41" s="1"/>
      <c r="G41" s="1"/>
      <c r="H41" s="1"/>
      <c r="I41" s="1"/>
      <c r="J41" s="1"/>
      <c r="K41" s="1"/>
      <c r="L41" s="37"/>
      <c r="M41" s="38"/>
      <c r="N41" s="38"/>
      <c r="O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s="12" customFormat="1" ht="14.4" customHeight="1" x14ac:dyDescent="0.3">
      <c r="A42" s="1"/>
      <c r="B42" s="1"/>
      <c r="C42" s="206"/>
      <c r="D42" s="206"/>
      <c r="E42" s="206"/>
      <c r="F42" s="1"/>
      <c r="G42" s="1"/>
      <c r="H42" s="1"/>
      <c r="I42" s="112">
        <f>'Beginning Version'!I42</f>
        <v>0.08</v>
      </c>
      <c r="J42" s="27" t="s">
        <v>85</v>
      </c>
      <c r="K42" s="1"/>
      <c r="L42" s="37"/>
      <c r="N42" s="207"/>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s="12" customFormat="1" ht="14.4" customHeight="1" x14ac:dyDescent="0.3">
      <c r="A43" s="1"/>
      <c r="B43" s="1"/>
      <c r="C43" s="1"/>
      <c r="D43" s="1"/>
      <c r="E43" s="207" t="s">
        <v>88</v>
      </c>
      <c r="F43" s="1"/>
      <c r="G43" s="1"/>
      <c r="H43" s="1"/>
      <c r="I43" s="1"/>
      <c r="J43" s="1"/>
      <c r="K43" s="1"/>
      <c r="L43" s="37"/>
      <c r="M43" s="38"/>
      <c r="N43" s="38"/>
      <c r="O43" s="1"/>
      <c r="P43" s="1"/>
      <c r="Q43" s="1"/>
      <c r="R43" s="1"/>
      <c r="S43" s="1"/>
      <c r="T43" s="1"/>
      <c r="U43" s="1"/>
      <c r="V43" s="1"/>
      <c r="W43" s="1"/>
      <c r="X43" s="1"/>
      <c r="Y43" s="208"/>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s="12" customFormat="1" ht="14.4" customHeight="1" x14ac:dyDescent="0.3">
      <c r="A44" s="1"/>
      <c r="B44" s="42" t="s">
        <v>225</v>
      </c>
      <c r="C44" s="1"/>
      <c r="D44" s="1"/>
      <c r="E44" s="1"/>
      <c r="F44" s="1"/>
      <c r="G44" s="1"/>
      <c r="H44" s="1"/>
      <c r="I44" s="1"/>
      <c r="J44" s="1"/>
      <c r="K44" s="1"/>
      <c r="L44" s="37"/>
      <c r="M44" s="38"/>
      <c r="N44" s="38"/>
      <c r="O44" s="1"/>
      <c r="P44" s="1"/>
      <c r="Q44" s="1"/>
      <c r="R44" s="1"/>
      <c r="S44" s="1"/>
      <c r="T44" s="1"/>
      <c r="U44" s="209"/>
      <c r="V44" s="1"/>
      <c r="W44" s="209"/>
      <c r="X44" s="1"/>
      <c r="Y44" s="210"/>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12" customFormat="1" ht="14.4" customHeight="1" x14ac:dyDescent="0.3">
      <c r="A45" s="1"/>
      <c r="B45" s="1"/>
      <c r="C45" s="1"/>
      <c r="D45" s="1"/>
      <c r="E45" s="1"/>
      <c r="F45" s="1"/>
      <c r="G45" s="211"/>
      <c r="H45" s="1"/>
      <c r="I45" s="212" t="s">
        <v>44</v>
      </c>
      <c r="J45" s="212" t="s">
        <v>63</v>
      </c>
      <c r="K45" s="213"/>
      <c r="L45" s="37"/>
      <c r="M45" s="214"/>
      <c r="N45" s="214"/>
      <c r="O45" s="40"/>
      <c r="P45" s="40"/>
      <c r="Q45" s="40"/>
      <c r="R45" s="40"/>
      <c r="S45" s="40"/>
      <c r="T45" s="1"/>
      <c r="U45" s="37"/>
      <c r="V45" s="1"/>
      <c r="W45" s="37"/>
      <c r="X45" s="1"/>
      <c r="Y45" s="212"/>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s="12" customFormat="1" ht="14.4" customHeight="1" x14ac:dyDescent="0.3">
      <c r="A46" s="215"/>
      <c r="B46" s="46"/>
      <c r="C46" s="46"/>
      <c r="D46" s="46"/>
      <c r="E46" s="46"/>
      <c r="F46" s="46"/>
      <c r="G46" s="46"/>
      <c r="H46" s="49" t="s">
        <v>64</v>
      </c>
      <c r="I46" s="797">
        <f>'Beginning Version'!I46</f>
        <v>3.8</v>
      </c>
      <c r="J46" s="1120">
        <v>0.8</v>
      </c>
      <c r="L46" s="37"/>
      <c r="M46" s="214"/>
      <c r="N46" s="214"/>
      <c r="O46" s="40"/>
      <c r="P46" s="40"/>
      <c r="Q46" s="40"/>
      <c r="R46" s="40"/>
      <c r="S46" s="40"/>
      <c r="T46" s="1"/>
      <c r="U46" s="37"/>
      <c r="V46" s="1"/>
      <c r="W46" s="37"/>
      <c r="X46" s="1"/>
      <c r="Y46" s="212"/>
      <c r="Z46" s="209"/>
      <c r="AA46" s="1"/>
      <c r="AB46" s="1"/>
      <c r="AC46" s="1"/>
      <c r="AD46" s="1"/>
      <c r="AE46" s="1"/>
      <c r="AF46" s="1"/>
      <c r="AG46" s="1"/>
      <c r="AH46" s="1"/>
      <c r="AI46" s="217">
        <f>J46*I46/56</f>
        <v>5.4285714285714284E-2</v>
      </c>
      <c r="AJ46" s="1"/>
      <c r="AK46" s="1"/>
      <c r="AL46" s="1"/>
      <c r="AM46" s="1"/>
      <c r="AN46" s="1"/>
      <c r="AO46" s="1"/>
      <c r="AP46" s="1"/>
      <c r="AQ46" s="1"/>
      <c r="AR46" s="1"/>
      <c r="AS46" s="1"/>
      <c r="AT46" s="1"/>
      <c r="AU46" s="1"/>
      <c r="AV46" s="1"/>
      <c r="AW46" s="1"/>
      <c r="AX46" s="1"/>
      <c r="AY46" s="1"/>
      <c r="AZ46" s="1"/>
    </row>
    <row r="47" spans="1:52" s="12" customFormat="1" ht="14.4" customHeight="1" x14ac:dyDescent="0.3">
      <c r="A47" s="218"/>
      <c r="B47" s="22"/>
      <c r="C47" s="22"/>
      <c r="D47" s="22"/>
      <c r="E47" s="22"/>
      <c r="F47" s="22"/>
      <c r="G47" s="22"/>
      <c r="H47" s="58" t="s">
        <v>65</v>
      </c>
      <c r="I47" s="797">
        <f>'Beginning Version'!I47</f>
        <v>325</v>
      </c>
      <c r="J47" s="1120">
        <v>0.15</v>
      </c>
      <c r="L47" s="37"/>
      <c r="M47" s="214"/>
      <c r="N47" s="214"/>
      <c r="O47" s="40"/>
      <c r="P47" s="40"/>
      <c r="Q47" s="40"/>
      <c r="R47" s="40"/>
      <c r="S47" s="40"/>
      <c r="T47" s="1"/>
      <c r="U47" s="37"/>
      <c r="V47" s="1"/>
      <c r="W47" s="37"/>
      <c r="X47" s="1"/>
      <c r="Y47" s="212"/>
      <c r="Z47" s="209"/>
      <c r="AA47" s="1"/>
      <c r="AB47" s="1"/>
      <c r="AC47" s="1"/>
      <c r="AD47" s="1"/>
      <c r="AE47" s="1"/>
      <c r="AF47" s="1"/>
      <c r="AG47" s="1"/>
      <c r="AH47" s="1"/>
      <c r="AI47" s="217">
        <f>J47*I47/2000</f>
        <v>2.4375000000000001E-2</v>
      </c>
      <c r="AJ47" s="1"/>
      <c r="AK47" s="1"/>
      <c r="AL47" s="1"/>
      <c r="AM47" s="1"/>
      <c r="AN47" s="1"/>
      <c r="AO47" s="1"/>
      <c r="AP47" s="1"/>
      <c r="AQ47" s="1"/>
      <c r="AR47" s="1"/>
      <c r="AS47" s="1"/>
      <c r="AT47" s="1"/>
      <c r="AU47" s="1"/>
      <c r="AV47" s="1"/>
      <c r="AW47" s="1"/>
      <c r="AX47" s="1"/>
      <c r="AY47" s="1"/>
      <c r="AZ47" s="1"/>
    </row>
    <row r="48" spans="1:52" s="12" customFormat="1" ht="14.4" customHeight="1" x14ac:dyDescent="0.3">
      <c r="A48" s="218"/>
      <c r="B48" s="22"/>
      <c r="C48" s="22"/>
      <c r="D48" s="22"/>
      <c r="E48" s="22"/>
      <c r="F48" s="22"/>
      <c r="G48" s="22"/>
      <c r="H48" s="58" t="s">
        <v>66</v>
      </c>
      <c r="I48" s="797">
        <f>'Beginning Version'!I48</f>
        <v>1000</v>
      </c>
      <c r="J48" s="1120">
        <v>0.05</v>
      </c>
      <c r="L48" s="37"/>
      <c r="M48" s="38"/>
      <c r="N48" s="38"/>
      <c r="O48" s="1"/>
      <c r="P48" s="1"/>
      <c r="Q48" s="1"/>
      <c r="R48" s="1"/>
      <c r="S48" s="1"/>
      <c r="T48" s="1"/>
      <c r="U48" s="1"/>
      <c r="V48" s="1"/>
      <c r="W48" s="1"/>
      <c r="X48" s="1"/>
      <c r="Y48" s="1"/>
      <c r="Z48" s="1"/>
      <c r="AA48" s="1"/>
      <c r="AB48" s="1"/>
      <c r="AC48" s="1"/>
      <c r="AD48" s="1"/>
      <c r="AE48" s="1"/>
      <c r="AF48" s="1"/>
      <c r="AG48" s="1"/>
      <c r="AH48" s="1"/>
      <c r="AI48" s="217">
        <f>0.05*I48/2000</f>
        <v>2.5000000000000001E-2</v>
      </c>
      <c r="AJ48" s="1"/>
      <c r="AK48" s="1"/>
      <c r="AL48" s="1"/>
      <c r="AM48" s="1"/>
      <c r="AN48" s="1"/>
      <c r="AO48" s="1"/>
      <c r="AP48" s="1"/>
      <c r="AQ48" s="1"/>
      <c r="AR48" s="1"/>
      <c r="AS48" s="1"/>
      <c r="AT48" s="1"/>
      <c r="AU48" s="1"/>
      <c r="AV48" s="1"/>
      <c r="AW48" s="1"/>
      <c r="AX48" s="1"/>
      <c r="AY48" s="1"/>
      <c r="AZ48" s="1"/>
    </row>
    <row r="49" spans="1:52" s="12" customFormat="1" ht="14.4" customHeight="1" x14ac:dyDescent="0.3">
      <c r="A49" s="218"/>
      <c r="B49" s="22"/>
      <c r="C49" s="22"/>
      <c r="D49" s="22"/>
      <c r="E49" s="22"/>
      <c r="F49" s="22"/>
      <c r="G49" s="22"/>
      <c r="H49" s="58" t="s">
        <v>96</v>
      </c>
      <c r="I49" s="798">
        <f>AI46+AI47+AI48</f>
        <v>0.10366071428571427</v>
      </c>
      <c r="J49" s="1"/>
      <c r="K49" s="1"/>
      <c r="L49" s="37"/>
      <c r="M49" s="38"/>
      <c r="N49" s="38"/>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s="12" customFormat="1" ht="14.4" customHeight="1" x14ac:dyDescent="0.3">
      <c r="A50" s="219"/>
      <c r="B50" s="72"/>
      <c r="C50" s="72"/>
      <c r="D50" s="72"/>
      <c r="E50" s="220"/>
      <c r="F50" s="72"/>
      <c r="G50" s="72"/>
      <c r="H50" s="221" t="s">
        <v>97</v>
      </c>
      <c r="I50" s="222">
        <f>'Beginning Version'!I50</f>
        <v>0.11</v>
      </c>
      <c r="J50" s="1"/>
      <c r="K50" s="223"/>
      <c r="L50" s="224"/>
      <c r="M50" s="214"/>
      <c r="N50" s="214"/>
      <c r="O50" s="1"/>
      <c r="P50" s="1"/>
      <c r="Q50" s="40"/>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s="12" customFormat="1" ht="14.4" customHeight="1" x14ac:dyDescent="0.3">
      <c r="A51" s="1"/>
      <c r="B51" s="1"/>
      <c r="C51" s="1"/>
      <c r="D51" s="1"/>
      <c r="E51" s="40"/>
      <c r="F51" s="1"/>
      <c r="G51" s="1"/>
      <c r="H51" s="225"/>
      <c r="I51" s="225"/>
      <c r="J51" s="1"/>
      <c r="K51" s="223"/>
      <c r="L51" s="224"/>
      <c r="M51" s="38"/>
      <c r="N51" s="38"/>
      <c r="O51" s="225"/>
      <c r="P51" s="225"/>
      <c r="Q51" s="1"/>
      <c r="R51" s="1"/>
      <c r="S51" s="1"/>
      <c r="T51" s="1"/>
      <c r="U51" s="1"/>
      <c r="V51" s="1"/>
      <c r="W51" s="1"/>
      <c r="X51" s="1"/>
      <c r="Y51" s="226"/>
      <c r="Z51" s="226"/>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s="12" customFormat="1" ht="14.4" customHeight="1" x14ac:dyDescent="0.3">
      <c r="A52" s="1"/>
      <c r="B52" s="1"/>
      <c r="C52" s="1"/>
      <c r="D52" s="1"/>
      <c r="E52" s="40"/>
      <c r="F52" s="1"/>
      <c r="G52" s="1"/>
      <c r="H52" s="225"/>
      <c r="I52" s="225"/>
      <c r="J52" s="1"/>
      <c r="K52" s="223"/>
      <c r="L52" s="224"/>
      <c r="M52" s="38"/>
      <c r="N52" s="38"/>
      <c r="O52" s="225"/>
      <c r="P52" s="225"/>
      <c r="Q52" s="1"/>
      <c r="R52" s="1"/>
      <c r="S52" s="1"/>
      <c r="T52" s="1"/>
      <c r="U52" s="1"/>
      <c r="V52" s="1"/>
      <c r="W52" s="1"/>
      <c r="X52" s="1"/>
      <c r="Y52" s="226"/>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s="12" customFormat="1" ht="14.4" customHeight="1" x14ac:dyDescent="0.3">
      <c r="A53" s="1"/>
      <c r="B53" s="227"/>
      <c r="C53" s="228"/>
      <c r="D53" s="228"/>
      <c r="E53" s="228"/>
      <c r="F53" s="228"/>
      <c r="G53" s="228"/>
      <c r="H53" s="229" t="s">
        <v>84</v>
      </c>
      <c r="I53" s="230">
        <f>IF(AA54=FALSE,I49,I50)</f>
        <v>0.11</v>
      </c>
      <c r="J53" s="223"/>
      <c r="K53" s="223"/>
      <c r="L53" s="223"/>
      <c r="M53" s="223"/>
      <c r="N53" s="223"/>
      <c r="O53" s="223"/>
      <c r="P53" s="223"/>
      <c r="Q53" s="223"/>
      <c r="R53" s="223"/>
      <c r="S53" s="1"/>
      <c r="T53" s="1"/>
      <c r="U53" s="1"/>
      <c r="V53" s="1"/>
      <c r="W53" s="1"/>
      <c r="X53" s="1"/>
      <c r="Y53" s="231"/>
      <c r="Z53" s="1"/>
      <c r="AA53" s="1"/>
      <c r="AB53" s="1"/>
      <c r="AC53" s="1"/>
      <c r="AD53" s="1"/>
      <c r="AE53" s="1"/>
      <c r="AF53" s="1"/>
      <c r="AG53" s="1"/>
      <c r="AH53" s="1"/>
      <c r="AI53" s="1"/>
      <c r="AJ53" s="1"/>
      <c r="AK53" s="1"/>
      <c r="AL53" s="1"/>
      <c r="AM53" s="1"/>
      <c r="AN53" s="212"/>
      <c r="AO53" s="1"/>
      <c r="AP53" s="1"/>
      <c r="AQ53" s="1"/>
      <c r="AR53" s="1"/>
      <c r="AS53" s="1"/>
      <c r="AT53" s="1"/>
      <c r="AU53" s="1"/>
      <c r="AV53" s="1"/>
      <c r="AW53" s="1"/>
      <c r="AX53" s="1"/>
      <c r="AY53" s="1"/>
      <c r="AZ53" s="1"/>
    </row>
    <row r="54" spans="1:52" s="12" customFormat="1" ht="14.4" customHeight="1" thickBot="1" x14ac:dyDescent="0.35">
      <c r="A54" s="1"/>
      <c r="B54" s="1"/>
      <c r="C54" s="1"/>
      <c r="D54" s="1"/>
      <c r="E54" s="1"/>
      <c r="F54" s="1"/>
      <c r="G54" s="1"/>
      <c r="H54" s="1"/>
      <c r="I54" s="1"/>
      <c r="J54" s="223"/>
      <c r="K54" s="223"/>
      <c r="L54" s="223"/>
      <c r="M54" s="223"/>
      <c r="N54" s="223"/>
      <c r="O54" s="223"/>
      <c r="P54" s="223"/>
      <c r="Q54" s="223"/>
      <c r="R54" s="223"/>
      <c r="S54" s="1"/>
      <c r="T54" s="1"/>
      <c r="U54" s="1"/>
      <c r="V54" s="1"/>
      <c r="W54" s="1"/>
      <c r="X54" s="1"/>
      <c r="Y54" s="1"/>
      <c r="Z54" s="1"/>
      <c r="AA54" s="232" t="b">
        <v>1</v>
      </c>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s="12" customFormat="1" ht="16.8" customHeight="1" thickBot="1" x14ac:dyDescent="0.35">
      <c r="A55" s="1"/>
      <c r="B55" s="42" t="s">
        <v>226</v>
      </c>
      <c r="C55" s="1"/>
      <c r="D55" s="1"/>
      <c r="E55" s="1"/>
      <c r="F55" s="1"/>
      <c r="G55" s="1"/>
      <c r="H55" s="1"/>
      <c r="I55" s="1"/>
      <c r="J55" s="76"/>
      <c r="K55" s="379" t="s">
        <v>188</v>
      </c>
      <c r="L55" s="379"/>
      <c r="M55" s="315"/>
      <c r="N55" s="38"/>
      <c r="O55" s="708" t="s">
        <v>214</v>
      </c>
      <c r="P55" s="708"/>
      <c r="Q55" s="708"/>
      <c r="R55" s="708"/>
      <c r="S55" s="708"/>
      <c r="T55" s="22"/>
      <c r="U55" s="22"/>
      <c r="V55" s="22"/>
      <c r="W55" s="22"/>
      <c r="X55" s="22"/>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12" customFormat="1" ht="14.4" customHeight="1" thickBot="1" x14ac:dyDescent="0.35">
      <c r="A56" s="1"/>
      <c r="B56" s="1"/>
      <c r="C56" s="1"/>
      <c r="D56" s="1"/>
      <c r="E56" s="1"/>
      <c r="F56" s="1"/>
      <c r="G56" s="1"/>
      <c r="H56" s="1"/>
      <c r="I56" s="1"/>
      <c r="J56" s="1"/>
      <c r="K56" s="781" t="s">
        <v>137</v>
      </c>
      <c r="L56" s="782"/>
      <c r="M56" s="38"/>
      <c r="N56" s="38"/>
      <c r="O56" s="1324" t="str">
        <f>'Beginning Version'!O56:P56</f>
        <v>1. Floor Feeding</v>
      </c>
      <c r="P56" s="1325"/>
      <c r="Q56" s="1312" t="str">
        <f>'Beginning Version'!Q56:R56</f>
        <v xml:space="preserve">2. Short Stalls </v>
      </c>
      <c r="R56" s="1313"/>
      <c r="S56" s="1312" t="str">
        <f>'Beginning Version'!S56:T56</f>
        <v>3. Trickle Feeding</v>
      </c>
      <c r="T56" s="1313"/>
      <c r="U56" s="1323" t="str">
        <f>'Beginning Version'!U56:V56</f>
        <v>4. Elec Sow Feeding</v>
      </c>
      <c r="V56" s="1313"/>
      <c r="W56" s="1312" t="str">
        <f>'Beginning Version'!W56:X56</f>
        <v>5. Free Access Stalls</v>
      </c>
      <c r="X56" s="1313"/>
      <c r="Y56" s="1"/>
      <c r="Z56" s="1"/>
      <c r="AA56" s="1"/>
      <c r="AB56" s="1"/>
      <c r="AC56" s="1"/>
      <c r="AD56" s="1"/>
      <c r="AE56" s="1"/>
      <c r="AF56" s="1"/>
      <c r="AG56" s="1"/>
      <c r="AH56" s="1"/>
      <c r="AI56" s="233" t="s">
        <v>39</v>
      </c>
      <c r="AJ56" s="233"/>
      <c r="AK56" s="234" t="s">
        <v>32</v>
      </c>
      <c r="AL56" s="234"/>
      <c r="AM56" s="235" t="s">
        <v>6</v>
      </c>
      <c r="AN56" s="235"/>
      <c r="AO56" s="236" t="s">
        <v>49</v>
      </c>
      <c r="AP56" s="236"/>
      <c r="AQ56" s="237" t="s">
        <v>36</v>
      </c>
      <c r="AR56" s="237"/>
      <c r="AS56" s="238" t="s">
        <v>5</v>
      </c>
      <c r="AT56" s="239"/>
      <c r="AU56" s="1"/>
      <c r="AV56" s="1"/>
      <c r="AW56" s="1"/>
      <c r="AX56" s="1"/>
      <c r="AY56" s="1"/>
      <c r="AZ56" s="1"/>
    </row>
    <row r="57" spans="1:52" s="12" customFormat="1" ht="14.4" customHeight="1" x14ac:dyDescent="0.3">
      <c r="A57" s="1326" t="s">
        <v>240</v>
      </c>
      <c r="B57" s="1327"/>
      <c r="C57" s="1"/>
      <c r="D57" s="1"/>
      <c r="E57" s="1"/>
      <c r="F57" s="1"/>
      <c r="G57" s="981"/>
      <c r="H57" s="981"/>
      <c r="I57" s="981"/>
      <c r="J57" s="982" t="s">
        <v>262</v>
      </c>
      <c r="K57" s="980">
        <f>$K$93</f>
        <v>17.626696709755347</v>
      </c>
      <c r="L57" s="783" t="s">
        <v>114</v>
      </c>
      <c r="M57" s="38"/>
      <c r="N57" s="39"/>
      <c r="O57" s="980">
        <f>O93</f>
        <v>19.542220799008909</v>
      </c>
      <c r="P57" s="995" t="s">
        <v>114</v>
      </c>
      <c r="Q57" s="980">
        <f>Q93</f>
        <v>19.852295525098143</v>
      </c>
      <c r="R57" s="991" t="s">
        <v>114</v>
      </c>
      <c r="S57" s="980">
        <f>S93</f>
        <v>19.904368862386168</v>
      </c>
      <c r="T57" s="988" t="s">
        <v>114</v>
      </c>
      <c r="U57" s="979">
        <f>U93</f>
        <v>20.366402515704333</v>
      </c>
      <c r="V57" s="1157" t="s">
        <v>114</v>
      </c>
      <c r="W57" s="979">
        <f>W93</f>
        <v>20.891848034764102</v>
      </c>
      <c r="X57" s="984" t="s">
        <v>114</v>
      </c>
      <c r="Y57" s="22"/>
      <c r="Z57" s="1"/>
      <c r="AA57" s="1"/>
      <c r="AB57" s="1"/>
      <c r="AC57" s="1"/>
      <c r="AD57" s="1"/>
      <c r="AE57" s="1"/>
      <c r="AF57" s="1"/>
      <c r="AG57" s="1"/>
      <c r="AH57" s="1"/>
      <c r="AI57" s="233" t="s">
        <v>0</v>
      </c>
      <c r="AJ57" s="233"/>
      <c r="AK57" s="240" t="s">
        <v>3</v>
      </c>
      <c r="AL57" s="240">
        <v>5</v>
      </c>
      <c r="AM57" s="235" t="s">
        <v>4</v>
      </c>
      <c r="AN57" s="235"/>
      <c r="AO57" s="236"/>
      <c r="AP57" s="236"/>
      <c r="AQ57" s="237"/>
      <c r="AR57" s="237"/>
      <c r="AS57" s="238"/>
      <c r="AT57" s="239"/>
      <c r="AU57" s="1"/>
      <c r="AV57" s="1"/>
      <c r="AW57" s="1"/>
      <c r="AX57" s="1"/>
      <c r="AY57" s="1"/>
      <c r="AZ57" s="1"/>
    </row>
    <row r="58" spans="1:52" s="12" customFormat="1" ht="14.4" customHeight="1" x14ac:dyDescent="0.3">
      <c r="A58" s="1284" t="s">
        <v>250</v>
      </c>
      <c r="B58" s="1285"/>
      <c r="C58" s="1285"/>
      <c r="D58" s="1286"/>
      <c r="E58" s="241"/>
      <c r="F58" s="46"/>
      <c r="G58" s="46"/>
      <c r="H58" s="46"/>
      <c r="I58" s="48"/>
      <c r="J58" s="48" t="s">
        <v>127</v>
      </c>
      <c r="K58" s="784">
        <f>I21</f>
        <v>1200</v>
      </c>
      <c r="L58" s="783" t="s">
        <v>114</v>
      </c>
      <c r="M58" s="48"/>
      <c r="N58" s="48"/>
      <c r="O58" s="684">
        <f>O61/O62</f>
        <v>1200</v>
      </c>
      <c r="P58" s="974" t="s">
        <v>114</v>
      </c>
      <c r="Q58" s="685">
        <f>Q61/Q62</f>
        <v>1200</v>
      </c>
      <c r="R58" s="975" t="s">
        <v>114</v>
      </c>
      <c r="S58" s="686">
        <f>S61/S62</f>
        <v>1200</v>
      </c>
      <c r="T58" s="976" t="s">
        <v>114</v>
      </c>
      <c r="U58" s="687">
        <f>U61/U62</f>
        <v>1200</v>
      </c>
      <c r="V58" s="977" t="s">
        <v>114</v>
      </c>
      <c r="W58" s="688">
        <f>W61/W62</f>
        <v>1200</v>
      </c>
      <c r="X58" s="978" t="s">
        <v>114</v>
      </c>
      <c r="Y58" s="1"/>
      <c r="Z58" s="1"/>
      <c r="AA58" s="1"/>
      <c r="AB58" s="1"/>
      <c r="AC58" s="1"/>
      <c r="AD58" s="1"/>
      <c r="AE58" s="1"/>
      <c r="AF58" s="1"/>
      <c r="AG58" s="1"/>
      <c r="AH58" s="1"/>
      <c r="AI58" s="6"/>
      <c r="AJ58" s="6"/>
      <c r="AK58" s="16"/>
      <c r="AL58" s="16"/>
      <c r="AM58" s="17"/>
      <c r="AN58" s="17"/>
      <c r="AO58" s="18"/>
      <c r="AP58" s="18"/>
      <c r="AQ58" s="19"/>
      <c r="AR58" s="19"/>
      <c r="AS58" s="11"/>
      <c r="AT58" s="11"/>
      <c r="AU58" s="1"/>
      <c r="AV58" s="1"/>
      <c r="AW58" s="1"/>
      <c r="AX58" s="1"/>
      <c r="AY58" s="1"/>
      <c r="AZ58" s="1"/>
    </row>
    <row r="59" spans="1:52" s="12" customFormat="1" ht="14.4" customHeight="1" x14ac:dyDescent="0.3">
      <c r="A59" s="1"/>
      <c r="B59" s="1"/>
      <c r="C59" s="1"/>
      <c r="D59" s="1"/>
      <c r="E59" s="242"/>
      <c r="F59" s="22"/>
      <c r="G59" s="22"/>
      <c r="H59" s="22"/>
      <c r="I59" s="39"/>
      <c r="J59" s="39" t="s">
        <v>73</v>
      </c>
      <c r="K59" s="785">
        <f>I31</f>
        <v>39</v>
      </c>
      <c r="L59" s="783" t="s">
        <v>213</v>
      </c>
      <c r="M59" s="39"/>
      <c r="N59" s="39"/>
      <c r="O59" s="753">
        <f>'Beginning Version'!O59</f>
        <v>39</v>
      </c>
      <c r="P59" s="974" t="s">
        <v>213</v>
      </c>
      <c r="Q59" s="753">
        <f>'Beginning Version'!Q59</f>
        <v>39</v>
      </c>
      <c r="R59" s="975" t="s">
        <v>213</v>
      </c>
      <c r="S59" s="753">
        <f>'Beginning Version'!S59</f>
        <v>39</v>
      </c>
      <c r="T59" s="976" t="s">
        <v>213</v>
      </c>
      <c r="U59" s="753">
        <f>'Beginning Version'!U59</f>
        <v>39</v>
      </c>
      <c r="V59" s="977" t="s">
        <v>213</v>
      </c>
      <c r="W59" s="753">
        <f>'Beginning Version'!W59</f>
        <v>39</v>
      </c>
      <c r="X59" s="978" t="s">
        <v>213</v>
      </c>
      <c r="Y59" s="1"/>
      <c r="Z59" s="1"/>
      <c r="AA59" s="1"/>
      <c r="AB59" s="1"/>
      <c r="AC59" s="1"/>
      <c r="AD59" s="1"/>
      <c r="AE59" s="1"/>
      <c r="AF59" s="1"/>
      <c r="AG59" s="1"/>
      <c r="AH59" s="1"/>
      <c r="AI59" s="6"/>
      <c r="AJ59" s="6"/>
      <c r="AK59" s="16"/>
      <c r="AL59" s="16"/>
      <c r="AM59" s="17"/>
      <c r="AN59" s="17"/>
      <c r="AO59" s="18"/>
      <c r="AP59" s="18"/>
      <c r="AQ59" s="19"/>
      <c r="AR59" s="19"/>
      <c r="AS59" s="11"/>
      <c r="AT59" s="11"/>
      <c r="AU59" s="1"/>
      <c r="AV59" s="1"/>
      <c r="AW59" s="1"/>
      <c r="AX59" s="1"/>
      <c r="AY59" s="1"/>
      <c r="AZ59" s="1"/>
    </row>
    <row r="60" spans="1:52" s="12" customFormat="1" ht="14.4" customHeight="1" x14ac:dyDescent="0.3">
      <c r="A60" s="1291" t="s">
        <v>259</v>
      </c>
      <c r="B60" s="1292"/>
      <c r="C60" s="1292"/>
      <c r="D60" s="1293"/>
      <c r="E60" s="242"/>
      <c r="F60" s="72"/>
      <c r="G60" s="72"/>
      <c r="H60" s="72"/>
      <c r="I60" s="74"/>
      <c r="J60" s="74" t="s">
        <v>68</v>
      </c>
      <c r="K60" s="786">
        <f>I36</f>
        <v>727.37504627915564</v>
      </c>
      <c r="L60" s="783" t="s">
        <v>114</v>
      </c>
      <c r="M60" s="74"/>
      <c r="N60" s="74"/>
      <c r="O60" s="693">
        <f>AI36</f>
        <v>727.37504627915564</v>
      </c>
      <c r="P60" s="974" t="s">
        <v>114</v>
      </c>
      <c r="Q60" s="695">
        <f>AK36</f>
        <v>727.37504627915564</v>
      </c>
      <c r="R60" s="975" t="s">
        <v>114</v>
      </c>
      <c r="S60" s="698">
        <f>AM36</f>
        <v>727.37504627915564</v>
      </c>
      <c r="T60" s="976" t="s">
        <v>114</v>
      </c>
      <c r="U60" s="701">
        <f>AO36</f>
        <v>727.37504627915564</v>
      </c>
      <c r="V60" s="977" t="s">
        <v>114</v>
      </c>
      <c r="W60" s="704">
        <f>AQ36</f>
        <v>727.37504627915564</v>
      </c>
      <c r="X60" s="978" t="s">
        <v>114</v>
      </c>
      <c r="Y60" s="1"/>
      <c r="Z60" s="1"/>
      <c r="AA60" s="1"/>
      <c r="AB60" s="1"/>
      <c r="AC60" s="1"/>
      <c r="AD60" s="1"/>
      <c r="AE60" s="1"/>
      <c r="AF60" s="1"/>
      <c r="AG60" s="1"/>
      <c r="AH60" s="1"/>
      <c r="AI60" s="6"/>
      <c r="AJ60" s="6"/>
      <c r="AK60" s="16"/>
      <c r="AL60" s="16"/>
      <c r="AM60" s="17"/>
      <c r="AN60" s="17"/>
      <c r="AO60" s="18"/>
      <c r="AP60" s="18"/>
      <c r="AQ60" s="19"/>
      <c r="AR60" s="19"/>
      <c r="AS60" s="11"/>
      <c r="AT60" s="11"/>
      <c r="AU60" s="1"/>
      <c r="AV60" s="1"/>
      <c r="AW60" s="1"/>
      <c r="AX60" s="1"/>
      <c r="AY60" s="1"/>
      <c r="AZ60" s="1"/>
    </row>
    <row r="61" spans="1:52" s="12" customFormat="1" ht="14.4" customHeight="1" x14ac:dyDescent="0.3">
      <c r="A61" s="1294"/>
      <c r="B61" s="1295"/>
      <c r="C61" s="1295"/>
      <c r="D61" s="1296"/>
      <c r="E61" s="46"/>
      <c r="F61" s="46"/>
      <c r="G61" s="46"/>
      <c r="H61" s="46"/>
      <c r="I61" s="48"/>
      <c r="J61" s="48" t="s">
        <v>30</v>
      </c>
      <c r="K61" s="784">
        <f>I22</f>
        <v>28800</v>
      </c>
      <c r="L61" s="783" t="s">
        <v>114</v>
      </c>
      <c r="M61" s="48"/>
      <c r="N61" s="48"/>
      <c r="O61" s="684">
        <f>K61</f>
        <v>28800</v>
      </c>
      <c r="P61" s="974" t="s">
        <v>114</v>
      </c>
      <c r="Q61" s="685">
        <f>K61</f>
        <v>28800</v>
      </c>
      <c r="R61" s="975" t="s">
        <v>114</v>
      </c>
      <c r="S61" s="686">
        <f>K61</f>
        <v>28800</v>
      </c>
      <c r="T61" s="976" t="s">
        <v>114</v>
      </c>
      <c r="U61" s="687">
        <f>K61</f>
        <v>28800</v>
      </c>
      <c r="V61" s="977" t="s">
        <v>114</v>
      </c>
      <c r="W61" s="688">
        <f>K61</f>
        <v>28800</v>
      </c>
      <c r="X61" s="978" t="s">
        <v>114</v>
      </c>
      <c r="Y61" s="1"/>
      <c r="Z61" s="1"/>
      <c r="AA61" s="1" t="s">
        <v>150</v>
      </c>
      <c r="AB61" s="1" t="s">
        <v>151</v>
      </c>
      <c r="AC61" s="1"/>
      <c r="AD61" s="1"/>
      <c r="AE61" s="1"/>
      <c r="AF61" s="1"/>
      <c r="AG61" s="1"/>
      <c r="AH61" s="1"/>
      <c r="AI61" s="6"/>
      <c r="AJ61" s="6"/>
      <c r="AK61" s="16"/>
      <c r="AL61" s="16"/>
      <c r="AM61" s="17"/>
      <c r="AN61" s="17"/>
      <c r="AO61" s="18"/>
      <c r="AP61" s="18"/>
      <c r="AQ61" s="19"/>
      <c r="AR61" s="19"/>
      <c r="AS61" s="11"/>
      <c r="AT61" s="11"/>
      <c r="AU61" s="1"/>
      <c r="AV61" s="1"/>
      <c r="AW61" s="1"/>
      <c r="AX61" s="1"/>
      <c r="AY61" s="1"/>
      <c r="AZ61" s="1"/>
    </row>
    <row r="62" spans="1:52" s="12" customFormat="1" ht="14.4" customHeight="1" x14ac:dyDescent="0.3">
      <c r="A62" s="1"/>
      <c r="B62" s="1"/>
      <c r="C62" s="1"/>
      <c r="D62" s="1"/>
      <c r="E62" s="218"/>
      <c r="F62" s="22"/>
      <c r="G62" s="22"/>
      <c r="H62" s="22"/>
      <c r="I62" s="39"/>
      <c r="J62" s="39" t="s">
        <v>147</v>
      </c>
      <c r="K62" s="787">
        <f>K61/K58</f>
        <v>24</v>
      </c>
      <c r="L62" s="783" t="s">
        <v>114</v>
      </c>
      <c r="M62" s="39"/>
      <c r="N62" s="39"/>
      <c r="O62" s="705">
        <f>'Beginning Version'!O62</f>
        <v>24</v>
      </c>
      <c r="P62" s="974" t="s">
        <v>114</v>
      </c>
      <c r="Q62" s="705">
        <f>'Beginning Version'!Q62</f>
        <v>24</v>
      </c>
      <c r="R62" s="992" t="s">
        <v>114</v>
      </c>
      <c r="S62" s="705">
        <f>'Beginning Version'!S62</f>
        <v>24</v>
      </c>
      <c r="T62" s="989" t="s">
        <v>114</v>
      </c>
      <c r="U62" s="705">
        <f>'Beginning Version'!U62</f>
        <v>24</v>
      </c>
      <c r="V62" s="1158" t="s">
        <v>114</v>
      </c>
      <c r="W62" s="705">
        <f>'Beginning Version'!W62</f>
        <v>24</v>
      </c>
      <c r="X62" s="978" t="s">
        <v>114</v>
      </c>
      <c r="Y62" s="1"/>
      <c r="Z62" s="1"/>
      <c r="AA62" s="1" t="b">
        <v>1</v>
      </c>
      <c r="AB62" s="1" t="b">
        <v>0</v>
      </c>
      <c r="AC62" s="1"/>
      <c r="AD62" s="1"/>
      <c r="AE62" s="1"/>
      <c r="AF62" s="1"/>
      <c r="AG62" s="1"/>
      <c r="AH62" s="1"/>
      <c r="AI62" s="6"/>
      <c r="AJ62" s="6"/>
      <c r="AK62" s="16"/>
      <c r="AL62" s="16"/>
      <c r="AM62" s="17"/>
      <c r="AN62" s="17"/>
      <c r="AO62" s="18"/>
      <c r="AP62" s="18"/>
      <c r="AQ62" s="19"/>
      <c r="AR62" s="19"/>
      <c r="AS62" s="11"/>
      <c r="AT62" s="11"/>
      <c r="AU62" s="1"/>
      <c r="AV62" s="1"/>
      <c r="AW62" s="1"/>
      <c r="AX62" s="1"/>
      <c r="AY62" s="1"/>
      <c r="AZ62" s="1"/>
    </row>
    <row r="63" spans="1:52" s="12" customFormat="1" ht="14.4" customHeight="1" x14ac:dyDescent="0.3">
      <c r="A63" s="1"/>
      <c r="B63" s="1"/>
      <c r="C63" s="1"/>
      <c r="D63" s="151"/>
      <c r="E63" s="244"/>
      <c r="F63" s="72"/>
      <c r="G63" s="72"/>
      <c r="H63" s="72"/>
      <c r="I63" s="74"/>
      <c r="J63" s="74" t="s">
        <v>51</v>
      </c>
      <c r="K63" s="787">
        <f>K62/$I27</f>
        <v>11.84</v>
      </c>
      <c r="L63" s="783" t="s">
        <v>114</v>
      </c>
      <c r="M63" s="39"/>
      <c r="N63" s="39"/>
      <c r="O63" s="694">
        <f>O62/$I27</f>
        <v>11.84</v>
      </c>
      <c r="P63" s="974" t="s">
        <v>114</v>
      </c>
      <c r="Q63" s="696">
        <f>Q62/$I27</f>
        <v>11.84</v>
      </c>
      <c r="R63" s="992" t="s">
        <v>114</v>
      </c>
      <c r="S63" s="699">
        <f>S62/$I27</f>
        <v>11.84</v>
      </c>
      <c r="T63" s="989" t="s">
        <v>114</v>
      </c>
      <c r="U63" s="702">
        <f>U62/$I27</f>
        <v>11.84</v>
      </c>
      <c r="V63" s="1158" t="s">
        <v>114</v>
      </c>
      <c r="W63" s="706">
        <f>W62/$I27</f>
        <v>11.84</v>
      </c>
      <c r="X63" s="985" t="s">
        <v>114</v>
      </c>
      <c r="Y63" s="1"/>
      <c r="Z63" s="1"/>
      <c r="AA63" s="212" t="s">
        <v>148</v>
      </c>
      <c r="AB63" s="212" t="s">
        <v>149</v>
      </c>
      <c r="AC63" s="1"/>
      <c r="AD63" s="1"/>
      <c r="AE63" s="1"/>
      <c r="AF63" s="1"/>
      <c r="AG63" s="1"/>
      <c r="AH63" s="1"/>
      <c r="AI63" s="6"/>
      <c r="AJ63" s="6"/>
      <c r="AK63" s="16"/>
      <c r="AL63" s="16"/>
      <c r="AM63" s="17"/>
      <c r="AN63" s="17"/>
      <c r="AO63" s="18"/>
      <c r="AP63" s="18"/>
      <c r="AQ63" s="19"/>
      <c r="AR63" s="19"/>
      <c r="AS63" s="11"/>
      <c r="AT63" s="11"/>
      <c r="AU63" s="1"/>
      <c r="AV63" s="1"/>
      <c r="AW63" s="1"/>
      <c r="AX63" s="1"/>
      <c r="AY63" s="1"/>
      <c r="AZ63" s="1"/>
    </row>
    <row r="64" spans="1:52" s="12" customFormat="1" ht="14.4" customHeight="1" x14ac:dyDescent="0.3">
      <c r="A64" s="1"/>
      <c r="B64" s="1"/>
      <c r="C64" s="215"/>
      <c r="D64" s="46"/>
      <c r="E64" s="46"/>
      <c r="F64" s="46"/>
      <c r="G64" s="46"/>
      <c r="H64" s="46"/>
      <c r="I64" s="46"/>
      <c r="J64" s="48" t="s">
        <v>106</v>
      </c>
      <c r="K64" s="754">
        <f>'Beginning Version'!K64</f>
        <v>21.2</v>
      </c>
      <c r="L64" s="783" t="s">
        <v>34</v>
      </c>
      <c r="M64" s="780" t="str">
        <f>IF(AA64&lt;14,"CAUTION!","OK")</f>
        <v>OK</v>
      </c>
      <c r="N64" s="48"/>
      <c r="O64" s="754">
        <f>'Beginning Version'!O64</f>
        <v>22.8</v>
      </c>
      <c r="P64" s="974" t="s">
        <v>114</v>
      </c>
      <c r="Q64" s="754">
        <f>'Beginning Version'!Q64</f>
        <v>22.8</v>
      </c>
      <c r="R64" s="993" t="s">
        <v>114</v>
      </c>
      <c r="S64" s="754">
        <f>'Beginning Version'!S64</f>
        <v>22.8</v>
      </c>
      <c r="T64" s="801" t="s">
        <v>114</v>
      </c>
      <c r="U64" s="754">
        <f>'Beginning Version'!U64</f>
        <v>22.8</v>
      </c>
      <c r="V64" s="1078" t="s">
        <v>114</v>
      </c>
      <c r="W64" s="754">
        <f>'Beginning Version'!W64</f>
        <v>30</v>
      </c>
      <c r="X64" s="986" t="s">
        <v>114</v>
      </c>
      <c r="Y64" s="1"/>
      <c r="Z64" s="1"/>
      <c r="AA64" s="245">
        <f>MIN(K64,O64,Q64,S64,U64,W64)</f>
        <v>21.2</v>
      </c>
      <c r="AB64" s="245">
        <f>MAX(K64,O64,Q64,S64,U64,W64,)</f>
        <v>30</v>
      </c>
      <c r="AC64" s="1"/>
      <c r="AD64" s="1"/>
      <c r="AE64" s="1"/>
      <c r="AF64" s="1"/>
      <c r="AG64" s="1"/>
      <c r="AH64" s="1"/>
      <c r="AI64" s="6"/>
      <c r="AJ64" s="6"/>
      <c r="AK64" s="16"/>
      <c r="AL64" s="16"/>
      <c r="AM64" s="17"/>
      <c r="AN64" s="17"/>
      <c r="AO64" s="18"/>
      <c r="AP64" s="18"/>
      <c r="AQ64" s="19"/>
      <c r="AR64" s="19"/>
      <c r="AS64" s="11"/>
      <c r="AT64" s="11"/>
      <c r="AU64" s="1"/>
      <c r="AV64" s="1"/>
      <c r="AW64" s="1"/>
      <c r="AX64" s="1"/>
      <c r="AY64" s="1"/>
      <c r="AZ64" s="1"/>
    </row>
    <row r="65" spans="1:52" s="12" customFormat="1" ht="14.4" customHeight="1" x14ac:dyDescent="0.3">
      <c r="A65" s="40"/>
      <c r="B65" s="40"/>
      <c r="C65" s="242"/>
      <c r="D65" s="246"/>
      <c r="E65" s="246"/>
      <c r="F65" s="246"/>
      <c r="G65" s="246"/>
      <c r="H65" s="246"/>
      <c r="I65" s="246"/>
      <c r="J65" s="39" t="s">
        <v>110</v>
      </c>
      <c r="K65" s="754">
        <f>'Beginning Version'!K65</f>
        <v>21.2</v>
      </c>
      <c r="L65" s="783" t="s">
        <v>34</v>
      </c>
      <c r="M65" s="780" t="str">
        <f>IF(AA65&lt;14,"CAUTION!","OK")</f>
        <v>OK</v>
      </c>
      <c r="N65" s="39"/>
      <c r="O65" s="754">
        <f>'Beginning Version'!O65</f>
        <v>21.2</v>
      </c>
      <c r="P65" s="974" t="s">
        <v>114</v>
      </c>
      <c r="Q65" s="754">
        <f>'Beginning Version'!Q65</f>
        <v>21.2</v>
      </c>
      <c r="R65" s="993" t="s">
        <v>114</v>
      </c>
      <c r="S65" s="754">
        <f>'Beginning Version'!S65</f>
        <v>21.2</v>
      </c>
      <c r="T65" s="801" t="s">
        <v>114</v>
      </c>
      <c r="U65" s="754">
        <f>'Beginning Version'!U65</f>
        <v>21.2</v>
      </c>
      <c r="V65" s="1078" t="s">
        <v>114</v>
      </c>
      <c r="W65" s="754">
        <f>'Beginning Version'!W65</f>
        <v>21.2</v>
      </c>
      <c r="X65" s="986" t="s">
        <v>114</v>
      </c>
      <c r="Y65" s="1"/>
      <c r="Z65" s="1"/>
      <c r="AA65" s="245">
        <f>MIN(K65,O65,Q65,S65,U65,W65)</f>
        <v>21.2</v>
      </c>
      <c r="AB65" s="245">
        <f>MAX(K65,O65,Q65,S65,U65,W65,)</f>
        <v>21.2</v>
      </c>
      <c r="AC65" s="1"/>
      <c r="AD65" s="1"/>
      <c r="AE65" s="1"/>
      <c r="AF65" s="1"/>
      <c r="AG65" s="1"/>
      <c r="AH65" s="1"/>
      <c r="AI65" s="6"/>
      <c r="AJ65" s="6"/>
      <c r="AK65" s="16"/>
      <c r="AL65" s="16"/>
      <c r="AM65" s="17"/>
      <c r="AN65" s="17"/>
      <c r="AO65" s="18"/>
      <c r="AP65" s="18"/>
      <c r="AQ65" s="19"/>
      <c r="AR65" s="19"/>
      <c r="AS65" s="11"/>
      <c r="AT65" s="11"/>
      <c r="AU65" s="1"/>
      <c r="AV65" s="1"/>
      <c r="AW65" s="1"/>
      <c r="AX65" s="1"/>
      <c r="AY65" s="1"/>
      <c r="AZ65" s="1"/>
    </row>
    <row r="66" spans="1:52" s="12" customFormat="1" ht="14.4" customHeight="1" x14ac:dyDescent="0.3">
      <c r="A66" s="1"/>
      <c r="B66" s="1"/>
      <c r="C66" s="219"/>
      <c r="D66" s="72"/>
      <c r="E66" s="72"/>
      <c r="F66" s="72"/>
      <c r="G66" s="72"/>
      <c r="H66" s="72"/>
      <c r="I66" s="72"/>
      <c r="J66" s="74" t="s">
        <v>99</v>
      </c>
      <c r="K66" s="754">
        <f>'Beginning Version'!K66</f>
        <v>21.2</v>
      </c>
      <c r="L66" s="783" t="s">
        <v>34</v>
      </c>
      <c r="M66" s="780" t="str">
        <f>IF(AA66&lt;14,"CAUTION!","OK")</f>
        <v>OK</v>
      </c>
      <c r="N66" s="74"/>
      <c r="O66" s="754">
        <f>'Beginning Version'!O66</f>
        <v>21.2</v>
      </c>
      <c r="P66" s="974" t="s">
        <v>114</v>
      </c>
      <c r="Q66" s="754">
        <f>'Beginning Version'!Q66</f>
        <v>21.2</v>
      </c>
      <c r="R66" s="993" t="s">
        <v>114</v>
      </c>
      <c r="S66" s="754">
        <f>'Beginning Version'!S66</f>
        <v>21.2</v>
      </c>
      <c r="T66" s="801" t="s">
        <v>114</v>
      </c>
      <c r="U66" s="754">
        <f>'Beginning Version'!U66</f>
        <v>21.2</v>
      </c>
      <c r="V66" s="1078" t="s">
        <v>114</v>
      </c>
      <c r="W66" s="754">
        <f>'Beginning Version'!W66</f>
        <v>21.2</v>
      </c>
      <c r="X66" s="986" t="s">
        <v>114</v>
      </c>
      <c r="Y66" s="1"/>
      <c r="Z66" s="1"/>
      <c r="AA66" s="245">
        <f>MIN(K66,O66,Q66,S66,U66,W66)</f>
        <v>21.2</v>
      </c>
      <c r="AB66" s="245">
        <f>MAX(K66,O66,Q66,S66,U66,W66,)</f>
        <v>21.2</v>
      </c>
      <c r="AC66" s="1"/>
      <c r="AD66" s="1"/>
      <c r="AE66" s="1"/>
      <c r="AF66" s="1"/>
      <c r="AG66" s="1"/>
      <c r="AH66" s="1"/>
      <c r="AI66" s="6"/>
      <c r="AJ66" s="6"/>
      <c r="AK66" s="16"/>
      <c r="AL66" s="16"/>
      <c r="AM66" s="17"/>
      <c r="AN66" s="17"/>
      <c r="AO66" s="18"/>
      <c r="AP66" s="18"/>
      <c r="AQ66" s="19"/>
      <c r="AR66" s="19"/>
      <c r="AS66" s="11"/>
      <c r="AT66" s="11"/>
      <c r="AU66" s="1"/>
      <c r="AV66" s="1"/>
      <c r="AW66" s="1"/>
      <c r="AX66" s="1"/>
      <c r="AY66" s="1"/>
      <c r="AZ66" s="1"/>
    </row>
    <row r="67" spans="1:52" s="12" customFormat="1" ht="14.4" customHeight="1" x14ac:dyDescent="0.3">
      <c r="A67" s="1"/>
      <c r="B67" s="1"/>
      <c r="C67" s="1"/>
      <c r="D67" s="1"/>
      <c r="E67" s="215"/>
      <c r="F67" s="46"/>
      <c r="G67" s="46"/>
      <c r="H67" s="46"/>
      <c r="I67" s="46"/>
      <c r="J67" s="48" t="s">
        <v>108</v>
      </c>
      <c r="K67" s="247">
        <f>I36*K64</f>
        <v>15420.350981118099</v>
      </c>
      <c r="L67" s="385" t="s">
        <v>34</v>
      </c>
      <c r="M67" s="46"/>
      <c r="N67" s="48"/>
      <c r="O67" s="777">
        <f>O64*AI36</f>
        <v>16584.151055164748</v>
      </c>
      <c r="P67" s="974" t="s">
        <v>34</v>
      </c>
      <c r="Q67" s="685">
        <f>Q64*AK36</f>
        <v>16584.151055164748</v>
      </c>
      <c r="R67" s="410" t="s">
        <v>34</v>
      </c>
      <c r="S67" s="686">
        <f>S64*AM36</f>
        <v>16584.151055164748</v>
      </c>
      <c r="T67" s="423" t="s">
        <v>34</v>
      </c>
      <c r="U67" s="687">
        <f>U64*AO36</f>
        <v>16584.151055164748</v>
      </c>
      <c r="V67" s="434" t="s">
        <v>34</v>
      </c>
      <c r="W67" s="688">
        <f>W64*AQ36</f>
        <v>21821.251388374669</v>
      </c>
      <c r="X67" s="986" t="s">
        <v>34</v>
      </c>
      <c r="Y67" s="1"/>
      <c r="Z67" s="1"/>
      <c r="AA67" s="1"/>
      <c r="AB67" s="1"/>
      <c r="AC67" s="1"/>
      <c r="AD67" s="1"/>
      <c r="AE67" s="1"/>
      <c r="AF67" s="1"/>
      <c r="AG67" s="1"/>
      <c r="AH67" s="1"/>
      <c r="AI67" s="6"/>
      <c r="AJ67" s="6"/>
      <c r="AK67" s="16"/>
      <c r="AL67" s="16"/>
      <c r="AM67" s="17"/>
      <c r="AN67" s="17"/>
      <c r="AO67" s="18"/>
      <c r="AP67" s="18"/>
      <c r="AQ67" s="19"/>
      <c r="AR67" s="19"/>
      <c r="AS67" s="11"/>
      <c r="AT67" s="11"/>
      <c r="AU67" s="1"/>
      <c r="AV67" s="1"/>
      <c r="AW67" s="1"/>
      <c r="AX67" s="1"/>
      <c r="AY67" s="1"/>
      <c r="AZ67" s="1"/>
    </row>
    <row r="68" spans="1:52" s="12" customFormat="1" ht="14.4" customHeight="1" x14ac:dyDescent="0.3">
      <c r="A68" s="1"/>
      <c r="B68" s="1"/>
      <c r="C68" s="1"/>
      <c r="D68" s="231"/>
      <c r="E68" s="218"/>
      <c r="F68" s="22"/>
      <c r="G68" s="22"/>
      <c r="H68" s="22"/>
      <c r="I68" s="22"/>
      <c r="J68" s="39" t="s">
        <v>109</v>
      </c>
      <c r="K68" s="248">
        <f>(K65*I37)</f>
        <v>6281.3535727508333</v>
      </c>
      <c r="L68" s="385" t="s">
        <v>34</v>
      </c>
      <c r="M68" s="22"/>
      <c r="N68" s="39"/>
      <c r="O68" s="778">
        <f>O65*AI37</f>
        <v>6281.3535727508333</v>
      </c>
      <c r="P68" s="974" t="s">
        <v>34</v>
      </c>
      <c r="Q68" s="697">
        <f>Q65*AK37</f>
        <v>6281.3535727508333</v>
      </c>
      <c r="R68" s="410" t="s">
        <v>34</v>
      </c>
      <c r="S68" s="700">
        <f>S65*AM37</f>
        <v>6281.3535727508333</v>
      </c>
      <c r="T68" s="423" t="s">
        <v>34</v>
      </c>
      <c r="U68" s="703">
        <f>U65*AO37</f>
        <v>6281.3535727508333</v>
      </c>
      <c r="V68" s="434" t="s">
        <v>34</v>
      </c>
      <c r="W68" s="707">
        <f>W65*AQ37</f>
        <v>6281.3535727508333</v>
      </c>
      <c r="X68" s="986" t="s">
        <v>34</v>
      </c>
      <c r="Y68" s="1"/>
      <c r="Z68" s="1"/>
      <c r="AA68" s="1"/>
      <c r="AB68" s="1"/>
      <c r="AC68" s="1"/>
      <c r="AD68" s="1"/>
      <c r="AE68" s="1"/>
      <c r="AF68" s="1"/>
      <c r="AG68" s="1"/>
      <c r="AH68" s="1"/>
      <c r="AI68" s="6"/>
      <c r="AJ68" s="6"/>
      <c r="AK68" s="16"/>
      <c r="AL68" s="16"/>
      <c r="AM68" s="17"/>
      <c r="AN68" s="17"/>
      <c r="AO68" s="18"/>
      <c r="AP68" s="18"/>
      <c r="AQ68" s="19"/>
      <c r="AR68" s="19"/>
      <c r="AS68" s="11"/>
      <c r="AT68" s="11"/>
      <c r="AU68" s="1"/>
      <c r="AV68" s="1"/>
      <c r="AW68" s="1"/>
      <c r="AX68" s="1"/>
      <c r="AY68" s="1"/>
      <c r="AZ68" s="1"/>
    </row>
    <row r="69" spans="1:52" s="12" customFormat="1" ht="14.4" customHeight="1" thickBot="1" x14ac:dyDescent="0.35">
      <c r="A69" s="40"/>
      <c r="B69" s="40"/>
      <c r="C69" s="40"/>
      <c r="D69" s="40"/>
      <c r="E69" s="243"/>
      <c r="F69" s="220"/>
      <c r="G69" s="220"/>
      <c r="H69" s="220"/>
      <c r="I69" s="220"/>
      <c r="J69" s="74" t="s">
        <v>107</v>
      </c>
      <c r="K69" s="249">
        <f>K66*I38</f>
        <v>771.39429840799721</v>
      </c>
      <c r="L69" s="783" t="s">
        <v>34</v>
      </c>
      <c r="M69" s="72"/>
      <c r="N69" s="74"/>
      <c r="O69" s="779">
        <f>O66*AI38</f>
        <v>771.39429840799721</v>
      </c>
      <c r="P69" s="996" t="s">
        <v>34</v>
      </c>
      <c r="Q69" s="689">
        <f>Q66*AK38</f>
        <v>771.39429840799721</v>
      </c>
      <c r="R69" s="412" t="s">
        <v>34</v>
      </c>
      <c r="S69" s="690">
        <f>S66*AM38</f>
        <v>771.39429840799721</v>
      </c>
      <c r="T69" s="425" t="s">
        <v>34</v>
      </c>
      <c r="U69" s="691">
        <f>U66*AO38</f>
        <v>771.39429840799721</v>
      </c>
      <c r="V69" s="436" t="s">
        <v>34</v>
      </c>
      <c r="W69" s="692">
        <f>W66*AQ38</f>
        <v>771.39429840799721</v>
      </c>
      <c r="X69" s="987" t="s">
        <v>34</v>
      </c>
      <c r="Y69" s="1"/>
      <c r="Z69" s="1"/>
      <c r="AA69" s="1"/>
      <c r="AB69" s="1"/>
      <c r="AC69" s="1"/>
      <c r="AD69" s="1"/>
      <c r="AE69" s="1"/>
      <c r="AF69" s="1"/>
      <c r="AG69" s="1"/>
      <c r="AH69" s="1"/>
      <c r="AI69" s="6"/>
      <c r="AJ69" s="6"/>
      <c r="AK69" s="16"/>
      <c r="AL69" s="16"/>
      <c r="AM69" s="17"/>
      <c r="AN69" s="17"/>
      <c r="AO69" s="18"/>
      <c r="AP69" s="18"/>
      <c r="AQ69" s="19"/>
      <c r="AR69" s="19"/>
      <c r="AS69" s="11"/>
      <c r="AT69" s="11"/>
      <c r="AU69" s="1"/>
      <c r="AV69" s="1"/>
      <c r="AW69" s="1"/>
      <c r="AX69" s="1"/>
      <c r="AY69" s="1"/>
      <c r="AZ69" s="1"/>
    </row>
    <row r="70" spans="1:52" s="12" customFormat="1" ht="14.4" customHeight="1" thickBot="1" x14ac:dyDescent="0.35">
      <c r="A70" s="1"/>
      <c r="B70" s="1"/>
      <c r="C70" s="1"/>
      <c r="D70" s="1"/>
      <c r="E70" s="1"/>
      <c r="F70" s="40"/>
      <c r="G70" s="1"/>
      <c r="H70" s="1"/>
      <c r="I70" s="215"/>
      <c r="J70" s="48" t="s">
        <v>86</v>
      </c>
      <c r="K70" s="247">
        <f>K68+K67+K69</f>
        <v>22473.098852276933</v>
      </c>
      <c r="L70" s="783" t="s">
        <v>34</v>
      </c>
      <c r="M70" s="250"/>
      <c r="N70" s="48" t="s">
        <v>128</v>
      </c>
      <c r="O70" s="679">
        <f>O67+O68+O69</f>
        <v>23636.898926323578</v>
      </c>
      <c r="P70" s="997" t="s">
        <v>34</v>
      </c>
      <c r="Q70" s="758">
        <f>Q67+Q68+Q69</f>
        <v>23636.898926323578</v>
      </c>
      <c r="R70" s="994" t="s">
        <v>34</v>
      </c>
      <c r="S70" s="760">
        <f>S67+S68+S69</f>
        <v>23636.898926323578</v>
      </c>
      <c r="T70" s="990" t="s">
        <v>34</v>
      </c>
      <c r="U70" s="762">
        <f>U67+U68+U69</f>
        <v>23636.898926323578</v>
      </c>
      <c r="V70" s="1159" t="s">
        <v>34</v>
      </c>
      <c r="W70" s="764">
        <f>W67+W68+W69</f>
        <v>28873.999259533499</v>
      </c>
      <c r="X70" s="818" t="s">
        <v>34</v>
      </c>
      <c r="Y70" s="38"/>
      <c r="Z70" s="1"/>
      <c r="AA70" s="1"/>
      <c r="AB70" s="1"/>
      <c r="AC70" s="1"/>
      <c r="AD70" s="1"/>
      <c r="AE70" s="1"/>
      <c r="AF70" s="1"/>
      <c r="AG70" s="1"/>
      <c r="AH70" s="1"/>
      <c r="AI70" s="6"/>
      <c r="AJ70" s="6"/>
      <c r="AK70" s="16"/>
      <c r="AL70" s="16"/>
      <c r="AM70" s="17"/>
      <c r="AN70" s="17"/>
      <c r="AO70" s="18"/>
      <c r="AP70" s="18"/>
      <c r="AQ70" s="19"/>
      <c r="AR70" s="19"/>
      <c r="AS70" s="11"/>
      <c r="AT70" s="11"/>
      <c r="AU70" s="1"/>
      <c r="AV70" s="1"/>
      <c r="AW70" s="1"/>
      <c r="AX70" s="1"/>
      <c r="AY70" s="1"/>
      <c r="AZ70" s="1"/>
    </row>
    <row r="71" spans="1:52" s="12" customFormat="1" ht="14.4" customHeight="1" thickBot="1" x14ac:dyDescent="0.35">
      <c r="A71" s="1"/>
      <c r="B71" s="231"/>
      <c r="C71" s="231"/>
      <c r="D71" s="1"/>
      <c r="E71" s="1"/>
      <c r="F71" s="40"/>
      <c r="G71" s="1"/>
      <c r="H71" s="1"/>
      <c r="I71" s="251">
        <f>K70/K71</f>
        <v>280.91373565346169</v>
      </c>
      <c r="J71" s="74" t="s">
        <v>136</v>
      </c>
      <c r="K71" s="754">
        <f>'Beginning Version'!K71</f>
        <v>80</v>
      </c>
      <c r="L71" s="789" t="s">
        <v>76</v>
      </c>
      <c r="M71" s="72"/>
      <c r="N71" s="74"/>
      <c r="O71" s="74"/>
      <c r="P71" s="1154"/>
      <c r="Q71" s="74"/>
      <c r="R71" s="1154"/>
      <c r="S71" s="74"/>
      <c r="T71" s="1154"/>
      <c r="U71" s="74"/>
      <c r="V71" s="1154"/>
      <c r="W71" s="74"/>
      <c r="X71" s="1160"/>
      <c r="Y71" s="38"/>
      <c r="Z71" s="1"/>
      <c r="AA71" s="1"/>
      <c r="AB71" s="1"/>
      <c r="AC71" s="1"/>
      <c r="AD71" s="1"/>
      <c r="AE71" s="1"/>
      <c r="AF71" s="1"/>
      <c r="AG71" s="1"/>
      <c r="AH71" s="1"/>
      <c r="AI71" s="6"/>
      <c r="AJ71" s="6"/>
      <c r="AK71" s="16"/>
      <c r="AL71" s="16"/>
      <c r="AM71" s="17"/>
      <c r="AN71" s="17"/>
      <c r="AO71" s="18"/>
      <c r="AP71" s="18"/>
      <c r="AQ71" s="19"/>
      <c r="AR71" s="19"/>
      <c r="AS71" s="11"/>
      <c r="AT71" s="11"/>
      <c r="AU71" s="1"/>
      <c r="AV71" s="1"/>
      <c r="AW71" s="1"/>
      <c r="AX71" s="1"/>
      <c r="AY71" s="1"/>
      <c r="AZ71" s="1"/>
    </row>
    <row r="72" spans="1:52" s="12" customFormat="1" ht="14.4" customHeight="1" thickBot="1" x14ac:dyDescent="0.35">
      <c r="A72" s="1"/>
      <c r="B72" s="231"/>
      <c r="C72" s="231"/>
      <c r="D72" s="1"/>
      <c r="E72" s="1"/>
      <c r="F72" s="40"/>
      <c r="G72" s="1"/>
      <c r="H72" s="1"/>
      <c r="I72" s="1"/>
      <c r="J72" s="39"/>
      <c r="K72" s="39"/>
      <c r="L72" s="22"/>
      <c r="M72" s="22"/>
      <c r="N72" s="39"/>
      <c r="O72" s="39"/>
      <c r="P72" s="378"/>
      <c r="Q72" s="39"/>
      <c r="R72" s="378"/>
      <c r="S72" s="39"/>
      <c r="T72" s="378"/>
      <c r="U72" s="39"/>
      <c r="V72" s="378"/>
      <c r="W72" s="39"/>
      <c r="X72" s="378"/>
      <c r="Y72" s="38"/>
      <c r="Z72" s="1"/>
      <c r="AA72" s="1"/>
      <c r="AB72" s="1"/>
      <c r="AC72" s="1"/>
      <c r="AD72" s="1"/>
      <c r="AE72" s="1"/>
      <c r="AF72" s="1"/>
      <c r="AG72" s="1"/>
      <c r="AH72" s="1"/>
      <c r="AI72" s="6"/>
      <c r="AJ72" s="6"/>
      <c r="AK72" s="16"/>
      <c r="AL72" s="16"/>
      <c r="AM72" s="17"/>
      <c r="AN72" s="17"/>
      <c r="AO72" s="18"/>
      <c r="AP72" s="18"/>
      <c r="AQ72" s="19"/>
      <c r="AR72" s="19"/>
      <c r="AS72" s="11"/>
      <c r="AT72" s="11"/>
      <c r="AU72" s="1"/>
      <c r="AV72" s="1"/>
      <c r="AW72" s="1"/>
      <c r="AX72" s="1"/>
      <c r="AY72" s="1"/>
      <c r="AZ72" s="1"/>
    </row>
    <row r="73" spans="1:52" s="12" customFormat="1" ht="14.4" customHeight="1" x14ac:dyDescent="0.3">
      <c r="A73" s="1"/>
      <c r="B73" s="1"/>
      <c r="C73" s="1"/>
      <c r="D73" s="1"/>
      <c r="E73" s="1"/>
      <c r="F73" s="215"/>
      <c r="G73" s="46"/>
      <c r="H73" s="46"/>
      <c r="I73" s="46"/>
      <c r="J73" s="48" t="s">
        <v>77</v>
      </c>
      <c r="K73" s="790">
        <f>I39</f>
        <v>1199.9999999999998</v>
      </c>
      <c r="L73" s="791" t="s">
        <v>114</v>
      </c>
      <c r="M73" s="48"/>
      <c r="N73" s="48"/>
      <c r="O73" s="678">
        <f>AI39</f>
        <v>1199.9999999999998</v>
      </c>
      <c r="P73" s="1001" t="s">
        <v>114</v>
      </c>
      <c r="Q73" s="670">
        <f>AK39</f>
        <v>1199.9999999999998</v>
      </c>
      <c r="R73" s="1002" t="s">
        <v>114</v>
      </c>
      <c r="S73" s="672">
        <f>AM39</f>
        <v>1199.9999999999998</v>
      </c>
      <c r="T73" s="1003" t="s">
        <v>114</v>
      </c>
      <c r="U73" s="674">
        <f>AO39</f>
        <v>1199.9999999999998</v>
      </c>
      <c r="V73" s="1004" t="s">
        <v>114</v>
      </c>
      <c r="W73" s="676">
        <f>AQ39</f>
        <v>1199.9999999999998</v>
      </c>
      <c r="X73" s="1005" t="s">
        <v>114</v>
      </c>
      <c r="Y73" s="1"/>
      <c r="Z73" s="1"/>
      <c r="AA73" s="1"/>
      <c r="AB73" s="1"/>
      <c r="AC73" s="1"/>
      <c r="AD73" s="1"/>
      <c r="AE73" s="1"/>
      <c r="AF73" s="1"/>
      <c r="AG73" s="1"/>
      <c r="AH73" s="1"/>
      <c r="AI73" s="6"/>
      <c r="AJ73" s="6"/>
      <c r="AK73" s="16"/>
      <c r="AL73" s="16"/>
      <c r="AM73" s="17"/>
      <c r="AN73" s="17"/>
      <c r="AO73" s="18"/>
      <c r="AP73" s="18"/>
      <c r="AQ73" s="19"/>
      <c r="AR73" s="19"/>
      <c r="AS73" s="11"/>
      <c r="AT73" s="11"/>
      <c r="AU73" s="1"/>
      <c r="AV73" s="1"/>
      <c r="AW73" s="1"/>
      <c r="AX73" s="1"/>
      <c r="AY73" s="1"/>
      <c r="AZ73" s="1"/>
    </row>
    <row r="74" spans="1:52" s="12" customFormat="1" ht="14.4" customHeight="1" thickBot="1" x14ac:dyDescent="0.35">
      <c r="A74" s="1"/>
      <c r="B74" s="1"/>
      <c r="C74" s="1"/>
      <c r="D74" s="1"/>
      <c r="E74" s="1"/>
      <c r="F74" s="219"/>
      <c r="G74" s="72"/>
      <c r="H74" s="72"/>
      <c r="I74" s="72"/>
      <c r="J74" s="74" t="s">
        <v>122</v>
      </c>
      <c r="K74" s="792">
        <f>I37+I38+I36</f>
        <v>1060.0518326545721</v>
      </c>
      <c r="L74" s="793" t="s">
        <v>114</v>
      </c>
      <c r="M74" s="74"/>
      <c r="N74" s="74"/>
      <c r="O74" s="679">
        <f>AI36+AI38+AI37</f>
        <v>1060.0518326545723</v>
      </c>
      <c r="P74" s="996" t="s">
        <v>114</v>
      </c>
      <c r="Q74" s="671">
        <f>AK36+AK38+AK37</f>
        <v>1060.0518326545723</v>
      </c>
      <c r="R74" s="412" t="s">
        <v>114</v>
      </c>
      <c r="S74" s="673">
        <f>AM36+AM38+AM37</f>
        <v>1060.0518326545723</v>
      </c>
      <c r="T74" s="425" t="s">
        <v>114</v>
      </c>
      <c r="U74" s="675">
        <f>AO36+AO38+AO37</f>
        <v>1060.0518326545723</v>
      </c>
      <c r="V74" s="436" t="s">
        <v>114</v>
      </c>
      <c r="W74" s="677">
        <f>AQ36+AQ38+AQ37</f>
        <v>1060.0518326545723</v>
      </c>
      <c r="X74" s="365" t="s">
        <v>114</v>
      </c>
      <c r="Y74" s="1"/>
      <c r="Z74" s="1"/>
      <c r="AA74" s="1"/>
      <c r="AB74" s="1"/>
      <c r="AC74" s="1"/>
      <c r="AD74" s="1"/>
      <c r="AE74" s="1"/>
      <c r="AF74" s="1"/>
      <c r="AG74" s="1"/>
      <c r="AH74" s="1"/>
      <c r="AI74" s="6"/>
      <c r="AJ74" s="6"/>
      <c r="AK74" s="16"/>
      <c r="AL74" s="16"/>
      <c r="AM74" s="17"/>
      <c r="AN74" s="17"/>
      <c r="AO74" s="18"/>
      <c r="AP74" s="18"/>
      <c r="AQ74" s="19"/>
      <c r="AR74" s="19"/>
      <c r="AS74" s="11"/>
      <c r="AT74" s="11"/>
      <c r="AU74" s="1"/>
      <c r="AV74" s="1"/>
      <c r="AW74" s="1"/>
      <c r="AX74" s="1"/>
      <c r="AY74" s="1"/>
      <c r="AZ74" s="1"/>
    </row>
    <row r="75" spans="1:52" s="12" customFormat="1" ht="14.4" customHeight="1" x14ac:dyDescent="0.3">
      <c r="A75" s="1"/>
      <c r="B75" s="1"/>
      <c r="C75" s="1"/>
      <c r="D75" s="1"/>
      <c r="E75" s="1"/>
      <c r="F75" s="22"/>
      <c r="G75" s="22"/>
      <c r="H75" s="22"/>
      <c r="I75" s="22"/>
      <c r="J75" s="39"/>
      <c r="K75" s="39"/>
      <c r="L75" s="39"/>
      <c r="M75" s="39"/>
      <c r="N75" s="39"/>
      <c r="O75" s="39"/>
      <c r="P75" s="378"/>
      <c r="Q75" s="39"/>
      <c r="R75" s="378"/>
      <c r="S75" s="39"/>
      <c r="T75" s="378"/>
      <c r="U75" s="39"/>
      <c r="V75" s="378"/>
      <c r="W75" s="39"/>
      <c r="X75" s="378"/>
      <c r="Y75" s="1"/>
      <c r="Z75" s="1"/>
      <c r="AA75" s="1"/>
      <c r="AB75" s="1"/>
      <c r="AC75" s="1"/>
      <c r="AD75" s="1"/>
      <c r="AE75" s="1"/>
      <c r="AF75" s="1"/>
      <c r="AG75" s="1"/>
      <c r="AH75" s="1"/>
      <c r="AI75" s="6"/>
      <c r="AJ75" s="6"/>
      <c r="AK75" s="16"/>
      <c r="AL75" s="16"/>
      <c r="AM75" s="17"/>
      <c r="AN75" s="17"/>
      <c r="AO75" s="18"/>
      <c r="AP75" s="18"/>
      <c r="AQ75" s="19"/>
      <c r="AR75" s="19"/>
      <c r="AS75" s="11"/>
      <c r="AT75" s="11"/>
      <c r="AU75" s="1"/>
      <c r="AV75" s="1"/>
      <c r="AW75" s="1"/>
      <c r="AX75" s="1"/>
      <c r="AY75" s="1"/>
      <c r="AZ75" s="1"/>
    </row>
    <row r="76" spans="1:52" s="12" customFormat="1" ht="14.4" customHeight="1" thickBot="1" x14ac:dyDescent="0.35">
      <c r="A76" s="1"/>
      <c r="B76" s="42" t="s">
        <v>227</v>
      </c>
      <c r="C76" s="1"/>
      <c r="D76" s="1"/>
      <c r="E76" s="1"/>
      <c r="F76" s="1"/>
      <c r="G76" s="1"/>
      <c r="H76" s="1"/>
      <c r="J76" s="1"/>
      <c r="K76" s="1"/>
      <c r="L76" s="1"/>
      <c r="M76" s="1"/>
      <c r="N76" s="1"/>
      <c r="O76" s="1"/>
      <c r="P76" s="212"/>
      <c r="Q76" s="1"/>
      <c r="R76" s="212"/>
      <c r="S76" s="1"/>
      <c r="T76" s="212"/>
      <c r="U76" s="1"/>
      <c r="V76" s="212"/>
      <c r="W76" s="1"/>
      <c r="X76" s="212"/>
      <c r="Y76" s="1"/>
      <c r="Z76" s="1"/>
      <c r="AA76" s="1"/>
      <c r="AB76" s="1"/>
      <c r="AC76" s="1"/>
      <c r="AD76" s="1"/>
      <c r="AE76" s="1"/>
      <c r="AF76" s="1"/>
      <c r="AG76" s="1"/>
      <c r="AH76" s="1"/>
      <c r="AI76" s="6"/>
      <c r="AJ76" s="6"/>
      <c r="AK76" s="16"/>
      <c r="AL76" s="16"/>
      <c r="AM76" s="17"/>
      <c r="AN76" s="17"/>
      <c r="AO76" s="18"/>
      <c r="AP76" s="18"/>
      <c r="AQ76" s="19"/>
      <c r="AR76" s="19"/>
      <c r="AS76" s="11"/>
      <c r="AT76" s="11"/>
      <c r="AU76" s="1"/>
      <c r="AV76" s="1"/>
      <c r="AW76" s="1"/>
      <c r="AX76" s="1"/>
      <c r="AY76" s="1"/>
      <c r="AZ76" s="1"/>
    </row>
    <row r="77" spans="1:52" s="12" customFormat="1" ht="14.4" customHeight="1" x14ac:dyDescent="0.3">
      <c r="A77" s="1"/>
      <c r="B77" s="1"/>
      <c r="C77" s="1"/>
      <c r="D77" s="1"/>
      <c r="E77" s="1"/>
      <c r="F77" s="215"/>
      <c r="G77" s="46"/>
      <c r="H77" s="48"/>
      <c r="I77" s="48"/>
      <c r="J77" s="48"/>
      <c r="K77" s="48"/>
      <c r="L77" s="48"/>
      <c r="M77" s="48" t="s">
        <v>139</v>
      </c>
      <c r="N77" s="883"/>
      <c r="O77" s="873">
        <f>($K70-O68-O67-O69)</f>
        <v>-1163.8000740466455</v>
      </c>
      <c r="P77" s="1155" t="s">
        <v>34</v>
      </c>
      <c r="Q77" s="711">
        <f>($K70-Q68-Q67-Q69)</f>
        <v>-1163.8000740466455</v>
      </c>
      <c r="R77" s="1013" t="s">
        <v>34</v>
      </c>
      <c r="S77" s="720">
        <f>($K70-S68-S67-S69)</f>
        <v>-1163.8000740466455</v>
      </c>
      <c r="T77" s="1019" t="s">
        <v>34</v>
      </c>
      <c r="U77" s="728">
        <f>($K70-U68-U67-U69)</f>
        <v>-1163.8000740466455</v>
      </c>
      <c r="V77" s="1024" t="s">
        <v>34</v>
      </c>
      <c r="W77" s="736">
        <f>($K70-W68-W67-W69)</f>
        <v>-6400.9004072565658</v>
      </c>
      <c r="X77" s="1030" t="s">
        <v>34</v>
      </c>
      <c r="Y77" s="1"/>
      <c r="Z77" s="1"/>
      <c r="AA77" s="1"/>
      <c r="AB77" s="1"/>
      <c r="AC77" s="1"/>
      <c r="AD77" s="1"/>
      <c r="AE77" s="1"/>
      <c r="AF77" s="1"/>
      <c r="AG77" s="1"/>
      <c r="AH77" s="1"/>
      <c r="AI77" s="6"/>
      <c r="AJ77" s="6"/>
      <c r="AK77" s="16"/>
      <c r="AL77" s="16"/>
      <c r="AM77" s="17"/>
      <c r="AN77" s="17"/>
      <c r="AO77" s="18"/>
      <c r="AP77" s="18"/>
      <c r="AQ77" s="19"/>
      <c r="AR77" s="19"/>
      <c r="AS77" s="11"/>
      <c r="AT77" s="11"/>
      <c r="AU77" s="1"/>
      <c r="AV77" s="1"/>
      <c r="AW77" s="1"/>
      <c r="AX77" s="1"/>
      <c r="AY77" s="1"/>
      <c r="AZ77" s="1"/>
    </row>
    <row r="78" spans="1:52" s="12" customFormat="1" ht="14.4" customHeight="1" x14ac:dyDescent="0.3">
      <c r="A78" s="1326" t="s">
        <v>240</v>
      </c>
      <c r="B78" s="1327"/>
      <c r="C78" s="1"/>
      <c r="D78" s="1"/>
      <c r="E78" s="1"/>
      <c r="F78" s="886"/>
      <c r="G78" s="376"/>
      <c r="H78" s="376"/>
      <c r="I78" s="39"/>
      <c r="J78" s="39"/>
      <c r="K78" s="39"/>
      <c r="L78" s="39"/>
      <c r="M78" s="39" t="s">
        <v>70</v>
      </c>
      <c r="N78" s="884"/>
      <c r="O78" s="874">
        <f>O77/($K70-O77)</f>
        <v>-4.9236580385363604E-2</v>
      </c>
      <c r="P78" s="1006"/>
      <c r="Q78" s="712">
        <f>Q77/($K70-Q77)</f>
        <v>-4.9236580385363604E-2</v>
      </c>
      <c r="R78" s="1014"/>
      <c r="S78" s="721">
        <f>S77/($K70-S77)</f>
        <v>-4.9236580385363604E-2</v>
      </c>
      <c r="T78" s="1020"/>
      <c r="U78" s="729">
        <f>U77/($K70-U77)</f>
        <v>-4.9236580385363604E-2</v>
      </c>
      <c r="V78" s="1025"/>
      <c r="W78" s="737">
        <f>W77/($K70-W77)</f>
        <v>-0.22168388762921862</v>
      </c>
      <c r="X78" s="1031"/>
      <c r="Y78" s="1"/>
      <c r="Z78" s="1"/>
      <c r="AA78" s="1"/>
      <c r="AB78" s="1"/>
      <c r="AC78" s="1"/>
      <c r="AD78" s="1"/>
      <c r="AE78" s="1"/>
      <c r="AF78" s="1"/>
      <c r="AG78" s="1"/>
      <c r="AH78" s="1"/>
      <c r="AI78" s="6"/>
      <c r="AJ78" s="6"/>
      <c r="AK78" s="16"/>
      <c r="AL78" s="16"/>
      <c r="AM78" s="17"/>
      <c r="AN78" s="17"/>
      <c r="AO78" s="18"/>
      <c r="AP78" s="18"/>
      <c r="AQ78" s="19"/>
      <c r="AR78" s="19"/>
      <c r="AS78" s="11"/>
      <c r="AT78" s="11"/>
      <c r="AU78" s="1"/>
      <c r="AV78" s="1"/>
      <c r="AW78" s="1"/>
      <c r="AX78" s="1"/>
      <c r="AY78" s="1"/>
      <c r="AZ78" s="1"/>
    </row>
    <row r="79" spans="1:52" s="12" customFormat="1" ht="14.4" customHeight="1" x14ac:dyDescent="0.3">
      <c r="A79" s="1284" t="s">
        <v>250</v>
      </c>
      <c r="B79" s="1285"/>
      <c r="C79" s="1285"/>
      <c r="D79" s="1286"/>
      <c r="E79" s="1"/>
      <c r="F79" s="887"/>
      <c r="G79" s="888"/>
      <c r="H79" s="888"/>
      <c r="I79" s="74"/>
      <c r="J79" s="74"/>
      <c r="K79" s="74"/>
      <c r="L79" s="74"/>
      <c r="M79" s="74" t="s">
        <v>145</v>
      </c>
      <c r="N79" s="885"/>
      <c r="O79" s="875">
        <f>(1-(O78*-1))*O61</f>
        <v>27381.986484901528</v>
      </c>
      <c r="P79" s="1007" t="s">
        <v>114</v>
      </c>
      <c r="Q79" s="713">
        <f>(1-(Q78*-1))*Q61</f>
        <v>27381.986484901528</v>
      </c>
      <c r="R79" s="1015" t="s">
        <v>114</v>
      </c>
      <c r="S79" s="722">
        <f>(1-(S78*-1))*S61</f>
        <v>27381.986484901528</v>
      </c>
      <c r="T79" s="1021" t="s">
        <v>114</v>
      </c>
      <c r="U79" s="730">
        <f>(1-(U78*-1))*U61</f>
        <v>27381.986484901528</v>
      </c>
      <c r="V79" s="1026" t="s">
        <v>114</v>
      </c>
      <c r="W79" s="738">
        <f>(1-(W78*-1))*W61</f>
        <v>22415.504036278504</v>
      </c>
      <c r="X79" s="1031" t="s">
        <v>114</v>
      </c>
      <c r="Y79" s="1"/>
      <c r="Z79" s="1"/>
      <c r="AA79" s="1"/>
      <c r="AB79" s="1"/>
      <c r="AC79" s="1"/>
      <c r="AD79" s="1"/>
      <c r="AE79" s="1"/>
      <c r="AF79" s="1"/>
      <c r="AG79" s="1"/>
      <c r="AH79" s="1"/>
      <c r="AI79" s="6"/>
      <c r="AJ79" s="6"/>
      <c r="AK79" s="16"/>
      <c r="AL79" s="16"/>
      <c r="AM79" s="17"/>
      <c r="AN79" s="17"/>
      <c r="AO79" s="18"/>
      <c r="AP79" s="18"/>
      <c r="AQ79" s="19"/>
      <c r="AR79" s="19"/>
      <c r="AS79" s="11"/>
      <c r="AT79" s="11"/>
      <c r="AU79" s="1"/>
      <c r="AV79" s="1"/>
      <c r="AW79" s="1"/>
      <c r="AX79" s="1"/>
      <c r="AY79" s="1"/>
      <c r="AZ79" s="1"/>
    </row>
    <row r="80" spans="1:52" s="12" customFormat="1" ht="14.4" customHeight="1" x14ac:dyDescent="0.3">
      <c r="A80" s="1"/>
      <c r="B80" s="1"/>
      <c r="C80" s="1"/>
      <c r="D80" s="1"/>
      <c r="E80" s="1"/>
      <c r="F80" s="215"/>
      <c r="G80" s="46"/>
      <c r="H80" s="46"/>
      <c r="I80" s="48"/>
      <c r="J80" s="48"/>
      <c r="K80" s="48"/>
      <c r="L80" s="48"/>
      <c r="M80" s="48" t="s">
        <v>220</v>
      </c>
      <c r="N80" s="883"/>
      <c r="O80" s="876">
        <f>O79/O62</f>
        <v>1140.9161035375637</v>
      </c>
      <c r="P80" s="1007" t="s">
        <v>114</v>
      </c>
      <c r="Q80" s="714">
        <f>Q79/Q62</f>
        <v>1140.9161035375637</v>
      </c>
      <c r="R80" s="1015" t="s">
        <v>114</v>
      </c>
      <c r="S80" s="723">
        <f>S79/S62</f>
        <v>1140.9161035375637</v>
      </c>
      <c r="T80" s="1021" t="s">
        <v>114</v>
      </c>
      <c r="U80" s="731">
        <f>U79/U62</f>
        <v>1140.9161035375637</v>
      </c>
      <c r="V80" s="1026" t="s">
        <v>114</v>
      </c>
      <c r="W80" s="739">
        <f>W79/W62</f>
        <v>933.97933484493763</v>
      </c>
      <c r="X80" s="1031" t="s">
        <v>114</v>
      </c>
      <c r="Y80" s="1"/>
      <c r="Z80" s="1"/>
      <c r="AA80" s="1"/>
      <c r="AB80" s="1"/>
      <c r="AC80" s="1"/>
      <c r="AD80" s="1"/>
      <c r="AE80" s="1"/>
      <c r="AF80" s="1"/>
      <c r="AG80" s="1"/>
      <c r="AH80" s="1"/>
      <c r="AI80" s="6"/>
      <c r="AJ80" s="6"/>
      <c r="AK80" s="16"/>
      <c r="AL80" s="16"/>
      <c r="AM80" s="17"/>
      <c r="AN80" s="17"/>
      <c r="AO80" s="18"/>
      <c r="AP80" s="18"/>
      <c r="AQ80" s="19"/>
      <c r="AR80" s="19"/>
      <c r="AS80" s="11"/>
      <c r="AT80" s="11"/>
      <c r="AU80" s="1"/>
      <c r="AV80" s="1"/>
      <c r="AW80" s="1"/>
      <c r="AX80" s="1"/>
      <c r="AY80" s="1"/>
      <c r="AZ80" s="1"/>
    </row>
    <row r="81" spans="1:52" s="12" customFormat="1" ht="14.4" customHeight="1" x14ac:dyDescent="0.3">
      <c r="A81" s="1291" t="s">
        <v>259</v>
      </c>
      <c r="B81" s="1292"/>
      <c r="C81" s="1292"/>
      <c r="D81" s="1293"/>
      <c r="E81" s="1"/>
      <c r="F81" s="218"/>
      <c r="G81" s="22"/>
      <c r="H81" s="22"/>
      <c r="I81" s="39"/>
      <c r="J81" s="39"/>
      <c r="K81" s="39"/>
      <c r="L81" s="39"/>
      <c r="M81" s="39" t="s">
        <v>123</v>
      </c>
      <c r="N81" s="884"/>
      <c r="O81" s="876">
        <f>($K70-O68-O69)/O64</f>
        <v>676.33118338237296</v>
      </c>
      <c r="P81" s="1007" t="s">
        <v>114</v>
      </c>
      <c r="Q81" s="714">
        <f>($K70-Q68-Q69)/Q64</f>
        <v>676.33118338237296</v>
      </c>
      <c r="R81" s="1015" t="s">
        <v>114</v>
      </c>
      <c r="S81" s="723">
        <f>($K70-S68-S69)/S64</f>
        <v>676.33118338237296</v>
      </c>
      <c r="T81" s="1021" t="s">
        <v>114</v>
      </c>
      <c r="U81" s="731">
        <f>($K70-U68-U69)/U64</f>
        <v>676.33118338237296</v>
      </c>
      <c r="V81" s="1026" t="s">
        <v>114</v>
      </c>
      <c r="W81" s="739">
        <f>($K70-W68-W69)/W64</f>
        <v>514.01169937060342</v>
      </c>
      <c r="X81" s="1031" t="s">
        <v>114</v>
      </c>
      <c r="Y81" s="1"/>
      <c r="Z81" s="1"/>
      <c r="AA81" s="1"/>
      <c r="AB81" s="1"/>
      <c r="AC81" s="1"/>
      <c r="AD81" s="1"/>
      <c r="AE81" s="1"/>
      <c r="AF81" s="1"/>
      <c r="AG81" s="1"/>
      <c r="AH81" s="1"/>
      <c r="AI81" s="6"/>
      <c r="AJ81" s="6"/>
      <c r="AK81" s="16"/>
      <c r="AL81" s="16"/>
      <c r="AM81" s="17"/>
      <c r="AN81" s="17"/>
      <c r="AO81" s="18"/>
      <c r="AP81" s="18"/>
      <c r="AQ81" s="19"/>
      <c r="AR81" s="19"/>
      <c r="AS81" s="11"/>
      <c r="AT81" s="11"/>
      <c r="AU81" s="1"/>
      <c r="AV81" s="1"/>
      <c r="AW81" s="1"/>
      <c r="AX81" s="1"/>
      <c r="AY81" s="1"/>
      <c r="AZ81" s="1"/>
    </row>
    <row r="82" spans="1:52" s="12" customFormat="1" ht="14.4" customHeight="1" x14ac:dyDescent="0.3">
      <c r="A82" s="1294"/>
      <c r="B82" s="1295"/>
      <c r="C82" s="1295"/>
      <c r="D82" s="1296"/>
      <c r="E82" s="1"/>
      <c r="F82" s="219"/>
      <c r="G82" s="72"/>
      <c r="H82" s="72"/>
      <c r="I82" s="74"/>
      <c r="J82" s="74"/>
      <c r="K82" s="74"/>
      <c r="L82" s="74"/>
      <c r="M82" s="74" t="s">
        <v>146</v>
      </c>
      <c r="N82" s="885"/>
      <c r="O82" s="875">
        <f>K70/O64</f>
        <v>985.66223036302335</v>
      </c>
      <c r="P82" s="1007" t="s">
        <v>114</v>
      </c>
      <c r="Q82" s="713">
        <f>K70/Q64</f>
        <v>985.66223036302335</v>
      </c>
      <c r="R82" s="1015" t="s">
        <v>114</v>
      </c>
      <c r="S82" s="722">
        <f>K70/S64</f>
        <v>985.66223036302335</v>
      </c>
      <c r="T82" s="1021" t="s">
        <v>114</v>
      </c>
      <c r="U82" s="730">
        <f>K70/U64</f>
        <v>985.66223036302335</v>
      </c>
      <c r="V82" s="1026" t="s">
        <v>114</v>
      </c>
      <c r="W82" s="738">
        <f>K70/W64</f>
        <v>749.10329507589779</v>
      </c>
      <c r="X82" s="1032" t="s">
        <v>114</v>
      </c>
      <c r="Y82" s="1"/>
      <c r="Z82" s="1"/>
      <c r="AA82" s="1"/>
      <c r="AB82" s="1"/>
      <c r="AC82" s="1"/>
      <c r="AD82" s="1"/>
      <c r="AE82" s="1"/>
      <c r="AF82" s="1"/>
      <c r="AG82" s="1"/>
      <c r="AH82" s="1"/>
      <c r="AI82" s="6"/>
      <c r="AJ82" s="6"/>
      <c r="AK82" s="16"/>
      <c r="AL82" s="16"/>
      <c r="AM82" s="17"/>
      <c r="AN82" s="17"/>
      <c r="AO82" s="18"/>
      <c r="AP82" s="18"/>
      <c r="AQ82" s="19"/>
      <c r="AR82" s="19"/>
      <c r="AS82" s="11"/>
      <c r="AT82" s="11"/>
      <c r="AU82" s="1"/>
      <c r="AV82" s="1"/>
      <c r="AW82" s="1"/>
      <c r="AX82" s="1"/>
      <c r="AY82" s="1"/>
      <c r="AZ82" s="1"/>
    </row>
    <row r="83" spans="1:52" s="12" customFormat="1" ht="14.4" customHeight="1" x14ac:dyDescent="0.3">
      <c r="A83" s="1"/>
      <c r="B83" s="1"/>
      <c r="C83" s="1"/>
      <c r="D83" s="1"/>
      <c r="E83" s="1"/>
      <c r="F83" s="215"/>
      <c r="G83" s="46"/>
      <c r="H83" s="46"/>
      <c r="I83" s="46"/>
      <c r="J83" s="46"/>
      <c r="K83" s="48"/>
      <c r="L83" s="48"/>
      <c r="M83" s="48" t="s">
        <v>87</v>
      </c>
      <c r="N83" s="49"/>
      <c r="O83" s="50">
        <f>O77/$K71*-1</f>
        <v>14.547500925583069</v>
      </c>
      <c r="P83" s="1008" t="s">
        <v>215</v>
      </c>
      <c r="Q83" s="51">
        <f>Q77/$K71*-1</f>
        <v>14.547500925583069</v>
      </c>
      <c r="R83" s="1016" t="s">
        <v>215</v>
      </c>
      <c r="S83" s="52">
        <f>S77/$K71*-1</f>
        <v>14.547500925583069</v>
      </c>
      <c r="T83" s="1022" t="s">
        <v>215</v>
      </c>
      <c r="U83" s="53">
        <f>U77/$K71*-1</f>
        <v>14.547500925583069</v>
      </c>
      <c r="V83" s="1027" t="s">
        <v>215</v>
      </c>
      <c r="W83" s="54">
        <f>W77/$K71*-1</f>
        <v>80.011255090707067</v>
      </c>
      <c r="X83" s="1033" t="s">
        <v>215</v>
      </c>
      <c r="Y83" s="1"/>
      <c r="Z83" s="1"/>
      <c r="AA83" s="1"/>
      <c r="AB83" s="1"/>
      <c r="AC83" s="1"/>
      <c r="AD83" s="1"/>
      <c r="AE83" s="1"/>
      <c r="AF83" s="1"/>
      <c r="AG83" s="1"/>
      <c r="AH83" s="1"/>
      <c r="AI83" s="6"/>
      <c r="AJ83" s="6"/>
      <c r="AK83" s="16"/>
      <c r="AL83" s="16"/>
      <c r="AM83" s="17"/>
      <c r="AN83" s="17"/>
      <c r="AO83" s="18"/>
      <c r="AP83" s="18"/>
      <c r="AQ83" s="19"/>
      <c r="AR83" s="19"/>
      <c r="AS83" s="11"/>
      <c r="AT83" s="11"/>
      <c r="AU83" s="1"/>
      <c r="AV83" s="1"/>
      <c r="AW83" s="1"/>
      <c r="AX83" s="1"/>
      <c r="AY83" s="1"/>
      <c r="AZ83" s="1"/>
    </row>
    <row r="84" spans="1:52" s="12" customFormat="1" ht="14.4" customHeight="1" x14ac:dyDescent="0.3">
      <c r="A84" s="1"/>
      <c r="B84" s="1"/>
      <c r="C84" s="1"/>
      <c r="D84" s="1"/>
      <c r="E84" s="1"/>
      <c r="F84" s="218"/>
      <c r="G84" s="22"/>
      <c r="H84" s="22"/>
      <c r="I84" s="22"/>
      <c r="J84" s="22"/>
      <c r="K84" s="39"/>
      <c r="L84" s="39"/>
      <c r="M84" s="39" t="s">
        <v>69</v>
      </c>
      <c r="N84" s="58"/>
      <c r="O84" s="719">
        <f>'Beginning Version'!O84</f>
        <v>5</v>
      </c>
      <c r="P84" s="1009" t="s">
        <v>114</v>
      </c>
      <c r="Q84" s="710">
        <f>'Beginning Version'!Q84</f>
        <v>10</v>
      </c>
      <c r="R84" s="1017" t="s">
        <v>114</v>
      </c>
      <c r="S84" s="710">
        <f>'Beginning Version'!S84</f>
        <v>20</v>
      </c>
      <c r="T84" s="1023" t="s">
        <v>114</v>
      </c>
      <c r="U84" s="710">
        <f>'Beginning Version'!U84</f>
        <v>60</v>
      </c>
      <c r="V84" s="1028" t="s">
        <v>114</v>
      </c>
      <c r="W84" s="710">
        <f>'Beginning Version'!W84</f>
        <v>60</v>
      </c>
      <c r="X84" s="1033" t="s">
        <v>114</v>
      </c>
      <c r="Y84" s="1"/>
      <c r="Z84" s="1"/>
      <c r="AA84" s="1"/>
      <c r="AB84" s="1"/>
      <c r="AC84" s="1"/>
      <c r="AD84" s="1"/>
      <c r="AE84" s="1"/>
      <c r="AF84" s="1"/>
      <c r="AG84" s="1"/>
      <c r="AH84" s="1"/>
      <c r="AI84" s="6"/>
      <c r="AJ84" s="6"/>
      <c r="AK84" s="16"/>
      <c r="AL84" s="16"/>
      <c r="AM84" s="17"/>
      <c r="AN84" s="17"/>
      <c r="AO84" s="18"/>
      <c r="AP84" s="18"/>
      <c r="AQ84" s="19"/>
      <c r="AR84" s="19"/>
      <c r="AS84" s="11"/>
      <c r="AT84" s="11"/>
      <c r="AU84" s="1"/>
      <c r="AV84" s="1"/>
      <c r="AW84" s="1"/>
      <c r="AX84" s="1"/>
      <c r="AY84" s="1"/>
      <c r="AZ84" s="1"/>
    </row>
    <row r="85" spans="1:52" s="12" customFormat="1" ht="14.4" customHeight="1" thickBot="1" x14ac:dyDescent="0.35">
      <c r="A85" s="1"/>
      <c r="B85" s="1"/>
      <c r="C85" s="1"/>
      <c r="D85" s="1"/>
      <c r="E85" s="1"/>
      <c r="F85" s="219"/>
      <c r="G85" s="72"/>
      <c r="H85" s="72"/>
      <c r="I85" s="72"/>
      <c r="J85" s="72"/>
      <c r="K85" s="74"/>
      <c r="L85" s="74"/>
      <c r="M85" s="74" t="s">
        <v>56</v>
      </c>
      <c r="N85" s="75"/>
      <c r="O85" s="877">
        <f>O60/O84</f>
        <v>145.47500925583114</v>
      </c>
      <c r="P85" s="1010"/>
      <c r="Q85" s="715">
        <f>Q60/Q84</f>
        <v>72.73750462791557</v>
      </c>
      <c r="R85" s="1018"/>
      <c r="S85" s="724">
        <f>S60/S84</f>
        <v>36.368752313957785</v>
      </c>
      <c r="T85" s="1156"/>
      <c r="U85" s="732">
        <f>U60/U84</f>
        <v>12.122917437985928</v>
      </c>
      <c r="V85" s="1029"/>
      <c r="W85" s="740">
        <f>W60/W84</f>
        <v>12.122917437985928</v>
      </c>
      <c r="X85" s="1034"/>
      <c r="Y85" s="1"/>
      <c r="Z85" s="1"/>
      <c r="AA85" s="1"/>
      <c r="AB85" s="1"/>
      <c r="AC85" s="1"/>
      <c r="AD85" s="1"/>
      <c r="AE85" s="1"/>
      <c r="AF85" s="1"/>
      <c r="AG85" s="1"/>
      <c r="AH85" s="1"/>
      <c r="AI85" s="6"/>
      <c r="AJ85" s="6"/>
      <c r="AK85" s="16"/>
      <c r="AL85" s="16"/>
      <c r="AM85" s="17"/>
      <c r="AN85" s="17"/>
      <c r="AO85" s="18"/>
      <c r="AP85" s="18"/>
      <c r="AQ85" s="19"/>
      <c r="AR85" s="19"/>
      <c r="AS85" s="11"/>
      <c r="AT85" s="11"/>
      <c r="AU85" s="1"/>
      <c r="AV85" s="1"/>
      <c r="AW85" s="1"/>
      <c r="AX85" s="1"/>
      <c r="AY85" s="1"/>
      <c r="AZ85" s="1"/>
    </row>
    <row r="86" spans="1:52" s="12" customFormat="1" ht="14.4" hidden="1" customHeight="1" x14ac:dyDescent="0.3">
      <c r="A86" s="1"/>
      <c r="B86" s="1"/>
      <c r="C86" s="1"/>
      <c r="D86" s="1"/>
      <c r="E86" s="1"/>
      <c r="F86" s="22"/>
      <c r="G86" s="22"/>
      <c r="H86" s="22"/>
      <c r="I86" s="22"/>
      <c r="J86" s="22"/>
      <c r="K86" s="39"/>
      <c r="L86" s="39"/>
      <c r="M86" s="39"/>
      <c r="N86" s="39"/>
      <c r="O86" s="820"/>
      <c r="P86" s="820"/>
      <c r="Q86" s="821"/>
      <c r="R86" s="821"/>
      <c r="S86" s="822"/>
      <c r="T86" s="822"/>
      <c r="U86" s="823"/>
      <c r="V86" s="823"/>
      <c r="W86" s="824"/>
      <c r="X86" s="239"/>
      <c r="Y86" s="1"/>
      <c r="Z86" s="1"/>
      <c r="AA86" s="1"/>
      <c r="AB86" s="1"/>
      <c r="AC86" s="1"/>
      <c r="AD86" s="1"/>
      <c r="AE86" s="1"/>
      <c r="AF86" s="1"/>
      <c r="AG86" s="1"/>
      <c r="AH86" s="1"/>
      <c r="AI86" s="6"/>
      <c r="AJ86" s="6"/>
      <c r="AK86" s="16"/>
      <c r="AL86" s="16"/>
      <c r="AM86" s="17"/>
      <c r="AN86" s="17"/>
      <c r="AO86" s="18"/>
      <c r="AP86" s="18"/>
      <c r="AQ86" s="19"/>
      <c r="AR86" s="19"/>
      <c r="AS86" s="11"/>
      <c r="AT86" s="11"/>
      <c r="AU86" s="1"/>
      <c r="AV86" s="1"/>
      <c r="AW86" s="1"/>
      <c r="AX86" s="1"/>
      <c r="AY86" s="1"/>
      <c r="AZ86" s="1"/>
    </row>
    <row r="87" spans="1:52" s="12" customFormat="1" ht="14.4" customHeight="1" x14ac:dyDescent="0.3"/>
    <row r="88" spans="1:52" s="12" customFormat="1" ht="14.4" customHeight="1" x14ac:dyDescent="0.3">
      <c r="A88" s="1"/>
      <c r="B88" s="42" t="s">
        <v>228</v>
      </c>
      <c r="C88" s="1"/>
      <c r="D88" s="1"/>
      <c r="E88" s="1"/>
      <c r="F88" s="1"/>
      <c r="G88" s="1"/>
      <c r="H88" s="1"/>
      <c r="I88" s="1"/>
      <c r="J88" s="38"/>
      <c r="K88" s="38"/>
      <c r="L88" s="38"/>
      <c r="M88" s="38"/>
      <c r="N88" s="38"/>
      <c r="O88" s="38"/>
      <c r="P88" s="38"/>
      <c r="Q88" s="38"/>
      <c r="R88" s="38"/>
      <c r="S88" s="38"/>
      <c r="T88" s="38"/>
      <c r="U88" s="38"/>
      <c r="V88" s="38"/>
      <c r="W88" s="38"/>
      <c r="X88" s="38"/>
      <c r="Y88" s="1"/>
      <c r="Z88" s="1"/>
      <c r="AA88" s="1"/>
      <c r="AB88" s="1"/>
      <c r="AC88" s="1"/>
      <c r="AD88" s="1"/>
      <c r="AE88" s="1"/>
      <c r="AF88" s="1"/>
      <c r="AG88" s="1"/>
      <c r="AH88" s="1"/>
      <c r="AI88" s="6"/>
      <c r="AJ88" s="6"/>
      <c r="AK88" s="16"/>
      <c r="AL88" s="16"/>
      <c r="AM88" s="17"/>
      <c r="AN88" s="17"/>
      <c r="AO88" s="18"/>
      <c r="AP88" s="18"/>
      <c r="AQ88" s="19"/>
      <c r="AR88" s="19"/>
      <c r="AS88" s="11"/>
      <c r="AT88" s="11"/>
      <c r="AU88" s="1"/>
      <c r="AV88" s="1"/>
      <c r="AW88" s="1"/>
      <c r="AX88" s="1"/>
      <c r="AY88" s="1"/>
      <c r="AZ88" s="1"/>
    </row>
    <row r="89" spans="1:52" s="12" customFormat="1" ht="14.4" customHeight="1" x14ac:dyDescent="0.3">
      <c r="E89" s="1314" t="s">
        <v>218</v>
      </c>
      <c r="F89" s="1315"/>
      <c r="G89" s="1315"/>
      <c r="H89" s="1315"/>
      <c r="I89" s="1316"/>
      <c r="J89" s="261"/>
      <c r="K89" s="261"/>
      <c r="L89" s="261"/>
      <c r="M89" s="261"/>
      <c r="N89" s="261"/>
      <c r="O89" s="376"/>
      <c r="V89" s="1"/>
      <c r="W89" s="1"/>
      <c r="X89" s="1"/>
      <c r="Y89" s="1"/>
      <c r="Z89" s="1"/>
      <c r="AA89" s="1"/>
      <c r="AB89" s="1"/>
      <c r="AC89" s="1"/>
      <c r="AD89" s="1"/>
      <c r="AE89" s="1"/>
      <c r="AF89" s="1"/>
      <c r="AG89" s="1"/>
      <c r="AH89" s="1"/>
      <c r="AI89" s="6"/>
      <c r="AJ89" s="6"/>
      <c r="AK89" s="16"/>
      <c r="AL89" s="16"/>
      <c r="AM89" s="17"/>
      <c r="AN89" s="17"/>
      <c r="AO89" s="18"/>
      <c r="AP89" s="18"/>
      <c r="AQ89" s="19"/>
      <c r="AR89" s="19"/>
      <c r="AS89" s="11"/>
      <c r="AT89" s="11"/>
      <c r="AU89" s="1"/>
      <c r="AV89" s="1"/>
      <c r="AW89" s="1"/>
      <c r="AX89" s="1"/>
      <c r="AY89" s="1"/>
      <c r="AZ89" s="1"/>
    </row>
    <row r="90" spans="1:52" s="12" customFormat="1" ht="14.4" customHeight="1" x14ac:dyDescent="0.3">
      <c r="A90" s="1"/>
      <c r="B90" s="1"/>
      <c r="C90" s="1"/>
      <c r="D90" s="1"/>
      <c r="E90" s="1317" t="s">
        <v>219</v>
      </c>
      <c r="F90" s="1317"/>
      <c r="G90" s="1317"/>
      <c r="H90" s="1317"/>
      <c r="I90" s="1317"/>
      <c r="J90" s="212"/>
      <c r="K90" s="223"/>
      <c r="L90" s="224"/>
      <c r="M90" s="1"/>
      <c r="O90" s="44">
        <v>16000</v>
      </c>
      <c r="P90" s="1012" t="s">
        <v>34</v>
      </c>
      <c r="Q90" s="27" t="s">
        <v>221</v>
      </c>
      <c r="R90" s="1"/>
      <c r="S90" s="1"/>
      <c r="T90" s="1"/>
      <c r="U90" s="1"/>
      <c r="V90" s="1"/>
      <c r="W90" s="1"/>
      <c r="X90" s="1"/>
      <c r="Y90" s="1"/>
      <c r="Z90" s="1"/>
      <c r="AA90" s="1" t="s">
        <v>102</v>
      </c>
      <c r="AB90" s="1"/>
      <c r="AC90" s="1"/>
      <c r="AD90" s="1"/>
      <c r="AE90" s="263">
        <v>2</v>
      </c>
      <c r="AF90" s="1"/>
      <c r="AG90" s="1"/>
      <c r="AH90" s="1"/>
      <c r="AI90" s="6"/>
      <c r="AJ90" s="6"/>
      <c r="AK90" s="16"/>
      <c r="AL90" s="16"/>
      <c r="AM90" s="17"/>
      <c r="AN90" s="17"/>
      <c r="AO90" s="18"/>
      <c r="AP90" s="18"/>
      <c r="AQ90" s="19"/>
      <c r="AR90" s="19"/>
      <c r="AS90" s="11"/>
      <c r="AT90" s="11"/>
      <c r="AU90" s="1"/>
      <c r="AV90" s="1"/>
      <c r="AW90" s="1"/>
      <c r="AX90" s="1"/>
      <c r="AY90" s="1"/>
      <c r="AZ90" s="1"/>
    </row>
    <row r="91" spans="1:52" s="12" customFormat="1" ht="14.4" customHeight="1" x14ac:dyDescent="0.3">
      <c r="A91" s="1"/>
      <c r="B91" s="1"/>
      <c r="C91" s="1"/>
      <c r="D91" s="1"/>
      <c r="E91" s="1318"/>
      <c r="F91" s="1318"/>
      <c r="G91" s="1318"/>
      <c r="H91" s="1318"/>
      <c r="I91" s="1318"/>
      <c r="J91" s="212"/>
      <c r="K91" s="223"/>
      <c r="L91" s="224"/>
      <c r="Y91" s="1"/>
      <c r="Z91" s="1"/>
      <c r="AA91" s="1" t="s">
        <v>104</v>
      </c>
      <c r="AB91" s="1"/>
      <c r="AC91" s="1"/>
      <c r="AD91" s="1"/>
      <c r="AE91" s="1"/>
      <c r="AF91" s="1"/>
      <c r="AG91" s="1"/>
      <c r="AH91" s="1"/>
      <c r="AI91" s="6"/>
      <c r="AJ91" s="6"/>
      <c r="AK91" s="16"/>
      <c r="AL91" s="16"/>
      <c r="AM91" s="17"/>
      <c r="AN91" s="17"/>
      <c r="AO91" s="18"/>
      <c r="AP91" s="18"/>
      <c r="AQ91" s="19"/>
      <c r="AR91" s="19"/>
      <c r="AS91" s="11"/>
      <c r="AT91" s="11"/>
      <c r="AU91" s="1"/>
      <c r="AV91" s="1"/>
      <c r="AW91" s="1"/>
      <c r="AX91" s="1"/>
      <c r="AY91" s="1"/>
      <c r="AZ91" s="1"/>
    </row>
    <row r="92" spans="1:52" s="12" customFormat="1" ht="14.4" customHeight="1" thickBot="1" x14ac:dyDescent="0.35">
      <c r="A92" s="1326" t="s">
        <v>240</v>
      </c>
      <c r="B92" s="1327"/>
      <c r="C92" s="1"/>
      <c r="D92" s="1"/>
      <c r="F92" s="1"/>
      <c r="I92" s="264" t="s">
        <v>101</v>
      </c>
      <c r="J92" s="1319" t="str">
        <f>IF(AE90=1,AA90,IF(AE90=2,AA91,IF(AE90=3,AA92,IF(AE90=4,AA93,ERROR))))</f>
        <v>2. Remodel Existing &amp; Add Space (to produce same number of pigs)</v>
      </c>
      <c r="K92" s="1320"/>
      <c r="L92" s="1320"/>
      <c r="M92" s="1320"/>
      <c r="N92" s="1320"/>
      <c r="O92" s="1320"/>
      <c r="P92" s="1320"/>
      <c r="Q92" s="1320"/>
      <c r="R92" s="1320"/>
      <c r="S92" s="1342"/>
      <c r="U92" s="1"/>
      <c r="V92" s="1"/>
      <c r="W92" s="1"/>
      <c r="X92" s="1"/>
      <c r="Y92" s="1"/>
      <c r="Z92" s="1"/>
      <c r="AA92" s="1" t="s">
        <v>251</v>
      </c>
      <c r="AB92" s="1"/>
      <c r="AC92" s="1"/>
      <c r="AD92" s="1"/>
      <c r="AE92" s="1"/>
      <c r="AF92" s="1"/>
      <c r="AG92" s="1"/>
      <c r="AH92" s="1"/>
      <c r="AI92" s="6"/>
      <c r="AJ92" s="6"/>
      <c r="AK92" s="16"/>
      <c r="AL92" s="16"/>
      <c r="AM92" s="17"/>
      <c r="AN92" s="17"/>
      <c r="AO92" s="18"/>
      <c r="AP92" s="18"/>
      <c r="AQ92" s="19"/>
      <c r="AR92" s="19"/>
      <c r="AS92" s="11"/>
      <c r="AT92" s="11"/>
      <c r="AU92" s="1"/>
      <c r="AV92" s="1"/>
      <c r="AW92" s="1"/>
      <c r="AX92" s="1"/>
      <c r="AY92" s="1"/>
      <c r="AZ92" s="1"/>
    </row>
    <row r="93" spans="1:52" s="12" customFormat="1" ht="14.4" customHeight="1" thickBot="1" x14ac:dyDescent="0.35">
      <c r="A93" s="1284" t="s">
        <v>250</v>
      </c>
      <c r="B93" s="1285"/>
      <c r="C93" s="1285"/>
      <c r="D93" s="1286"/>
      <c r="F93" s="1"/>
      <c r="G93" s="981"/>
      <c r="H93" s="981"/>
      <c r="I93" s="981"/>
      <c r="J93" s="982" t="s">
        <v>262</v>
      </c>
      <c r="K93" s="980">
        <f>K182</f>
        <v>17.626696709755347</v>
      </c>
      <c r="L93" s="1162" t="s">
        <v>114</v>
      </c>
      <c r="M93" s="38"/>
      <c r="N93" s="39"/>
      <c r="O93" s="1197">
        <f>O182</f>
        <v>19.542220799008909</v>
      </c>
      <c r="P93" s="1198" t="s">
        <v>114</v>
      </c>
      <c r="Q93" s="1199">
        <f>Q182</f>
        <v>19.852295525098143</v>
      </c>
      <c r="R93" s="1200" t="s">
        <v>114</v>
      </c>
      <c r="S93" s="1199">
        <f>S182</f>
        <v>19.904368862386168</v>
      </c>
      <c r="T93" s="1201" t="s">
        <v>114</v>
      </c>
      <c r="U93" s="1199">
        <f>U182</f>
        <v>20.366402515704333</v>
      </c>
      <c r="V93" s="1202" t="s">
        <v>114</v>
      </c>
      <c r="W93" s="1199">
        <f>W182</f>
        <v>20.891848034764102</v>
      </c>
      <c r="X93" s="1203" t="s">
        <v>114</v>
      </c>
      <c r="Y93" s="1"/>
      <c r="Z93" s="1"/>
      <c r="AA93" s="1" t="s">
        <v>103</v>
      </c>
      <c r="AB93" s="1"/>
      <c r="AC93" s="1"/>
      <c r="AD93" s="1"/>
      <c r="AE93" s="1"/>
      <c r="AF93" s="1"/>
      <c r="AG93" s="1"/>
      <c r="AH93" s="1"/>
      <c r="AI93" s="6"/>
      <c r="AJ93" s="6"/>
      <c r="AK93" s="16"/>
      <c r="AL93" s="16"/>
      <c r="AM93" s="17"/>
      <c r="AN93" s="17"/>
      <c r="AO93" s="18"/>
      <c r="AP93" s="18"/>
      <c r="AQ93" s="19"/>
      <c r="AR93" s="19"/>
      <c r="AS93" s="11"/>
      <c r="AT93" s="11"/>
      <c r="AU93" s="1"/>
      <c r="AV93" s="1"/>
      <c r="AW93" s="1"/>
      <c r="AX93" s="1"/>
      <c r="AY93" s="1"/>
      <c r="AZ93" s="1"/>
    </row>
    <row r="94" spans="1:52" s="12" customFormat="1" ht="14.4" customHeight="1" thickBot="1" x14ac:dyDescent="0.35">
      <c r="A94" s="1"/>
      <c r="B94" s="1"/>
      <c r="C94" s="1"/>
      <c r="D94" s="1"/>
      <c r="E94" s="265" t="s">
        <v>118</v>
      </c>
      <c r="F94" s="1"/>
      <c r="G94" s="1"/>
      <c r="H94" s="38"/>
      <c r="I94" s="262"/>
      <c r="J94" s="212"/>
      <c r="K94" s="223"/>
      <c r="L94" s="1163"/>
      <c r="M94" s="38"/>
      <c r="N94" s="38"/>
      <c r="O94" s="633" t="str">
        <f>O56</f>
        <v>1. Floor Feeding</v>
      </c>
      <c r="P94" s="1161"/>
      <c r="Q94" s="641" t="str">
        <f>Q56</f>
        <v xml:space="preserve">2. Short Stalls </v>
      </c>
      <c r="R94" s="1035"/>
      <c r="S94" s="649" t="str">
        <f>S56</f>
        <v>3. Trickle Feeding</v>
      </c>
      <c r="T94" s="1038"/>
      <c r="U94" s="657" t="str">
        <f>U56</f>
        <v>4. Elec Sow Feeding</v>
      </c>
      <c r="V94" s="1041"/>
      <c r="W94" s="665" t="str">
        <f>W56</f>
        <v>5. Free Access Stalls</v>
      </c>
      <c r="X94" s="1044"/>
      <c r="Y94" s="1"/>
      <c r="Z94" s="1"/>
      <c r="AA94" s="1" t="s">
        <v>105</v>
      </c>
      <c r="AB94" s="1"/>
      <c r="AC94" s="1"/>
      <c r="AD94" s="1"/>
      <c r="AE94" s="1"/>
      <c r="AF94" s="1"/>
      <c r="AG94" s="1"/>
      <c r="AH94" s="1"/>
      <c r="AI94" s="6"/>
      <c r="AJ94" s="6"/>
      <c r="AK94" s="16"/>
      <c r="AL94" s="16"/>
      <c r="AM94" s="17"/>
      <c r="AN94" s="17"/>
      <c r="AO94" s="18"/>
      <c r="AP94" s="18"/>
      <c r="AQ94" s="19"/>
      <c r="AR94" s="19"/>
      <c r="AS94" s="11"/>
      <c r="AT94" s="11"/>
      <c r="AU94" s="1"/>
      <c r="AV94" s="1"/>
      <c r="AW94" s="1"/>
      <c r="AX94" s="1"/>
      <c r="AY94" s="1"/>
      <c r="AZ94" s="1"/>
    </row>
    <row r="95" spans="1:52" s="12" customFormat="1" ht="14.4" customHeight="1" x14ac:dyDescent="0.3">
      <c r="A95" s="1291" t="s">
        <v>259</v>
      </c>
      <c r="B95" s="1292"/>
      <c r="C95" s="1292"/>
      <c r="D95" s="1293"/>
      <c r="E95" s="223"/>
      <c r="F95" s="1"/>
      <c r="G95" s="266" t="str">
        <f>AB95</f>
        <v>Sow Gestation Housing</v>
      </c>
      <c r="H95" s="267"/>
      <c r="I95" s="268"/>
      <c r="J95" s="268"/>
      <c r="K95" s="269">
        <f>IF(AA95,I36,0)</f>
        <v>727.37504627915564</v>
      </c>
      <c r="L95" s="1164" t="s">
        <v>114</v>
      </c>
      <c r="M95" s="270"/>
      <c r="N95" s="252"/>
      <c r="O95" s="635">
        <f>IF($AA95,(IF($AE$90=1,AI36*(1+O$78),IF($AE$90=2,AI36,IF($AE$90=3,AI36,IF($AE$90=4,AI36,"ERROR"))))),0)</f>
        <v>727.37504627915564</v>
      </c>
      <c r="P95" s="1001" t="s">
        <v>114</v>
      </c>
      <c r="Q95" s="643">
        <f>IF($AA95,(IF($AE$90=1,AK36*(1+Q$78),IF($AE$90=2,AK36,IF($AE$90=3,AK36,IF($AE$90=4,AK36,"ERROR"))))),0)</f>
        <v>727.37504627915564</v>
      </c>
      <c r="R95" s="1036" t="s">
        <v>114</v>
      </c>
      <c r="S95" s="651">
        <f>IF($AA95,(IF($AE$90=1,AM36*(1+S$78),IF($AE$90=2,AM36,IF($AE$90=3,AM36,IF($AE$90=4,AM36,"ERROR"))))),0)</f>
        <v>727.37504627915564</v>
      </c>
      <c r="T95" s="1039" t="s">
        <v>114</v>
      </c>
      <c r="U95" s="659">
        <f>IF($AA95,(IF($AE$90=1,AO36*(1+U$78),IF($AE$90=2,AO36,IF($AE$90=3,AO36,IF($AE$90=4,AO36,"ERROR"))))),0)</f>
        <v>727.37504627915564</v>
      </c>
      <c r="V95" s="1042" t="s">
        <v>114</v>
      </c>
      <c r="W95" s="667">
        <f>IF($AA95,(IF($AE$90=1,AQ36*(1+W$78),IF($AE$90=2,AQ36,IF($AE$90=3,AQ36,IF($AE$90=4,AQ36,"ERROR"))))),0)</f>
        <v>727.37504627915564</v>
      </c>
      <c r="X95" s="1045" t="s">
        <v>114</v>
      </c>
      <c r="Y95" s="1"/>
      <c r="Z95" s="1"/>
      <c r="AA95" s="263" t="b">
        <v>1</v>
      </c>
      <c r="AB95" s="1" t="s">
        <v>112</v>
      </c>
      <c r="AC95" s="1"/>
      <c r="AD95" s="1"/>
      <c r="AE95" s="212" t="str">
        <f>IF(AA95=TRUE,IF(AA64&gt;14,"OK","ERROR"))</f>
        <v>OK</v>
      </c>
      <c r="AF95" s="212" t="b">
        <f>IF(AA95=FALSE,IF(AB64&lt;1,"OK","ERROR"))</f>
        <v>0</v>
      </c>
      <c r="AG95" s="212"/>
      <c r="AH95" s="1"/>
      <c r="AI95" s="6"/>
      <c r="AJ95" s="272" t="str">
        <f>AB95</f>
        <v>Sow Gestation Housing</v>
      </c>
      <c r="AK95" s="16">
        <f>IF($AE$90=1,AI36*(1+O$78),IF($AE$90=2,AI36,IF($AE$90=3,AI36,IF($AE$90=4,AI36,"ERROR"))))</f>
        <v>727.37504627915564</v>
      </c>
      <c r="AL95" s="16"/>
      <c r="AM95" s="17">
        <f>IF($AE$90=1,AK36*(1+Q$78),IF($AE$90=2,AK36,IF($AE$90=3,AK36,IF($AE$90=4,AK36,"ERROR"))))</f>
        <v>727.37504627915564</v>
      </c>
      <c r="AN95" s="17"/>
      <c r="AO95" s="18">
        <f>IF($AE$90=1,AM36*(1+S$78),IF($AE$90=2,AM36,IF($AE$90=3,AM36,IF($AE$90=4,AM36,"ERROR"))))</f>
        <v>727.37504627915564</v>
      </c>
      <c r="AP95" s="18"/>
      <c r="AQ95" s="19">
        <f>IF($AE$90=1,AO36*(1+U$78),IF($AE$90=2,AO36,IF($AE$90=3,AO36,IF($AE$90=4,AO36,"ERROR"))))</f>
        <v>727.37504627915564</v>
      </c>
      <c r="AR95" s="19"/>
      <c r="AS95" s="11">
        <f>IF($AE$90=1,AQ36*(1+W$78),IF($AE$90=2,AQ36,IF($AE$90=3,AQ36,IF($AE$90=4,AQ36,"ERROR"))))</f>
        <v>727.37504627915564</v>
      </c>
      <c r="AT95" s="11"/>
      <c r="AU95" s="1"/>
      <c r="AV95" s="1"/>
      <c r="AW95" s="1"/>
      <c r="AX95" s="1"/>
      <c r="AY95" s="1"/>
      <c r="AZ95" s="1"/>
    </row>
    <row r="96" spans="1:52" s="12" customFormat="1" ht="14.4" customHeight="1" x14ac:dyDescent="0.3">
      <c r="A96" s="1294"/>
      <c r="B96" s="1295"/>
      <c r="C96" s="1295"/>
      <c r="D96" s="1296"/>
      <c r="E96" s="223"/>
      <c r="F96" s="1"/>
      <c r="G96" s="273" t="str">
        <f>AB96</f>
        <v>Sow Pre-Gestation Housing</v>
      </c>
      <c r="H96" s="274"/>
      <c r="I96" s="275"/>
      <c r="J96" s="275"/>
      <c r="K96" s="276">
        <f>IF($AA96,I37,0)</f>
        <v>296.29026286560537</v>
      </c>
      <c r="L96" s="1165" t="s">
        <v>114</v>
      </c>
      <c r="M96" s="277"/>
      <c r="N96" s="39"/>
      <c r="O96" s="637">
        <f>IF($AA96,(IF($AE$90=1,AI37*(1+O$78),IF($AE$90=2,AI37,IF($AE$90=3,AI37,IF($AE$90=4,AI37,"ERROR"))))),0)</f>
        <v>296.29026286560537</v>
      </c>
      <c r="P96" s="974" t="s">
        <v>114</v>
      </c>
      <c r="Q96" s="645">
        <f>IF($AA96,(IF($AE$90=1,AK37*(1+Q$78),IF($AE$90=2,AK37,IF($AE$90=3,AK37,IF($AE$90=4,AK37,"ERROR"))))),0)</f>
        <v>296.29026286560537</v>
      </c>
      <c r="R96" s="975" t="s">
        <v>114</v>
      </c>
      <c r="S96" s="653">
        <f>IF($AA96,(IF($AE$90=1,AM37*(1+S$78),IF($AE$90=2,AM37,IF($AE$90=3,AM37,IF($AE$90=4,AM37,"ERROR"))))),0)</f>
        <v>296.29026286560537</v>
      </c>
      <c r="T96" s="976" t="s">
        <v>114</v>
      </c>
      <c r="U96" s="661">
        <f>IF($AA96,(IF($AE$90=1,AO37*(1+U$78),IF($AE$90=2,AO37,IF($AE$90=3,AO37,IF($AE$90=4,AO37,"ERROR"))))),0)</f>
        <v>296.29026286560537</v>
      </c>
      <c r="V96" s="977" t="s">
        <v>114</v>
      </c>
      <c r="W96" s="668">
        <f>IF($AA96,(IF($AE$90=1,AQ37*(1+W$78),IF($AE$90=2,AQ37,IF($AE$90=3,AQ37,IF($AE$90=4,AQ37,"ERROR"))))),0)</f>
        <v>296.29026286560537</v>
      </c>
      <c r="X96" s="978" t="s">
        <v>114</v>
      </c>
      <c r="Y96" s="1"/>
      <c r="Z96" s="1"/>
      <c r="AA96" s="263" t="b">
        <v>1</v>
      </c>
      <c r="AB96" s="1" t="s">
        <v>113</v>
      </c>
      <c r="AC96" s="1"/>
      <c r="AD96" s="1"/>
      <c r="AE96" s="212" t="str">
        <f>IF(AA96=TRUE,IF(AA65&gt;14,"OK","ERROR"))</f>
        <v>OK</v>
      </c>
      <c r="AF96" s="212" t="b">
        <f>IF(AA96=FALSE,IF(AB65&lt;1,"OK","ERROR"))</f>
        <v>0</v>
      </c>
      <c r="AG96" s="212"/>
      <c r="AH96" s="1"/>
      <c r="AI96" s="6"/>
      <c r="AJ96" s="272" t="str">
        <f>AB96</f>
        <v>Sow Pre-Gestation Housing</v>
      </c>
      <c r="AK96" s="16">
        <f>IF($AE$90=1,AI37*(1+O$78),IF($AE$90=2,AI37,IF($AE$90=3,AI37,IF($AE$90=4,AI37,"ERROR"))))</f>
        <v>296.29026286560537</v>
      </c>
      <c r="AL96" s="16"/>
      <c r="AM96" s="17">
        <f>IF($AE$90=1,AK37*(1+Q$78),IF($AE$90=2,AK37,IF($AE$90=3,AK37,IF($AE$90=4,AK37,"ERROR"))))</f>
        <v>296.29026286560537</v>
      </c>
      <c r="AN96" s="17"/>
      <c r="AO96" s="18">
        <f>IF($AE$90=1,AM37*(1+S$78),IF($AE$90=2,AM37,IF($AE$90=3,AM37,IF($AE$90=4,AM37,"ERROR"))))</f>
        <v>296.29026286560537</v>
      </c>
      <c r="AP96" s="18"/>
      <c r="AQ96" s="19">
        <f>IF($AE$90=1,AO37*(1+U$78),IF($AE$90=2,AO37,IF($AE$90=3,AO37,IF($AE$90=4,AO37,"ERROR"))))</f>
        <v>296.29026286560537</v>
      </c>
      <c r="AR96" s="19"/>
      <c r="AS96" s="11">
        <f>IF($AE$90=1,AQ37*(1+W$78),IF($AE$90=2,AQ37,IF($AE$90=3,AQ37,IF($AE$90=4,AQ37,"ERROR"))))</f>
        <v>296.29026286560537</v>
      </c>
      <c r="AT96" s="11"/>
      <c r="AU96" s="1"/>
      <c r="AV96" s="1"/>
      <c r="AW96" s="1"/>
      <c r="AX96" s="1"/>
      <c r="AY96" s="1"/>
      <c r="AZ96" s="1"/>
    </row>
    <row r="97" spans="1:52" s="12" customFormat="1" ht="14.4" customHeight="1" thickBot="1" x14ac:dyDescent="0.35">
      <c r="A97" s="1"/>
      <c r="E97" s="223"/>
      <c r="F97" s="1"/>
      <c r="G97" s="283" t="str">
        <f>AB97</f>
        <v>Replacement Gilt Housing</v>
      </c>
      <c r="H97" s="284"/>
      <c r="I97" s="285"/>
      <c r="J97" s="285"/>
      <c r="K97" s="286">
        <f>IF($AA97,I38,0)</f>
        <v>36.386523509811191</v>
      </c>
      <c r="L97" s="1166" t="s">
        <v>114</v>
      </c>
      <c r="M97" s="287"/>
      <c r="N97" s="260"/>
      <c r="O97" s="639">
        <f>IF($AA97,(IF($AE$90=1,AI38*(1+O$78),IF($AE$90=2,AI38,IF($AE$90=3,AI38,IF($AE$90=4,AI38,"ERROR"))))),0)</f>
        <v>36.386523509811191</v>
      </c>
      <c r="P97" s="996" t="s">
        <v>114</v>
      </c>
      <c r="Q97" s="647">
        <f>IF($AA97,(IF($AE$90=1,AK38*(1+Q$78),IF($AE$90=2,AK38,IF($AE$90=3,AK38,IF($AE$90=4,AK38,"ERROR"))))),0)</f>
        <v>36.386523509811191</v>
      </c>
      <c r="R97" s="1037" t="s">
        <v>114</v>
      </c>
      <c r="S97" s="655">
        <f>IF($AA97,(IF($AE$90=1,AM38*(1+S$78),IF($AE$90=2,AM38,IF($AE$90=3,AM38,IF($AE$90=4,AM38,"ERROR"))))),0)</f>
        <v>36.386523509811191</v>
      </c>
      <c r="T97" s="1040" t="s">
        <v>114</v>
      </c>
      <c r="U97" s="663">
        <f>IF($AA97,(IF($AE$90=1,AO38*(1+U$78),IF($AE$90=2,AO38,IF($AE$90=3,AO38,IF($AE$90=4,AO38,"ERROR"))))),0)</f>
        <v>36.386523509811191</v>
      </c>
      <c r="V97" s="1043" t="s">
        <v>114</v>
      </c>
      <c r="W97" s="669">
        <f>IF($AA97,(IF($AE$90=1,AQ38*(1+W$78),IF($AE$90=2,AQ38,IF($AE$90=3,AQ38,IF($AE$90=4,AQ38,"ERROR"))))),0)</f>
        <v>36.386523509811191</v>
      </c>
      <c r="X97" s="1046" t="s">
        <v>114</v>
      </c>
      <c r="Y97" s="1"/>
      <c r="Z97" s="1"/>
      <c r="AA97" s="263" t="b">
        <v>1</v>
      </c>
      <c r="AB97" s="1" t="s">
        <v>111</v>
      </c>
      <c r="AC97" s="1"/>
      <c r="AD97" s="1"/>
      <c r="AE97" s="212" t="str">
        <f>IF(AA97=TRUE,IF(AA66&gt;14,"OK","ERROR"))</f>
        <v>OK</v>
      </c>
      <c r="AF97" s="212" t="b">
        <f>IF(AA97=FALSE,IF(AB66&lt;1,"OK","ERROR"))</f>
        <v>0</v>
      </c>
      <c r="AG97" s="212"/>
      <c r="AH97" s="1"/>
      <c r="AI97" s="6"/>
      <c r="AJ97" s="272" t="str">
        <f>AB97</f>
        <v>Replacement Gilt Housing</v>
      </c>
      <c r="AK97" s="16">
        <f>IF($AE$90=1,AI38*(1+O$78),IF($AE$90=2,AI38,IF($AE$90=3,AI38,IF($AE$90=4,AI38,"ERROR"))))</f>
        <v>36.386523509811191</v>
      </c>
      <c r="AL97" s="16"/>
      <c r="AM97" s="17">
        <f>IF($AE$90=1,AK38*(1+Q$78),IF($AE$90=2,AK38,IF($AE$90=3,AK38,IF($AE$90=4,AK38,"ERROR"))))</f>
        <v>36.386523509811191</v>
      </c>
      <c r="AN97" s="17"/>
      <c r="AO97" s="18">
        <f>IF($AE$90=1,AM38*(1+S$78),IF($AE$90=2,AM38,IF($AE$90=3,AM38,IF($AE$90=4,AM38,"ERROR"))))</f>
        <v>36.386523509811191</v>
      </c>
      <c r="AP97" s="18"/>
      <c r="AQ97" s="19">
        <f>IF($AE$90=1,AO38*(1+U$78),IF($AE$90=2,AO38,IF($AE$90=3,AO38,IF($AE$90=4,AO38,"ERROR"))))</f>
        <v>36.386523509811191</v>
      </c>
      <c r="AR97" s="19"/>
      <c r="AS97" s="11">
        <f>IF($AE$90=1,AQ38*(1+W$78),IF($AE$90=2,AQ38,IF($AE$90=3,AQ38,IF($AE$90=4,AQ38,"ERROR"))))</f>
        <v>36.386523509811191</v>
      </c>
      <c r="AT97" s="11"/>
      <c r="AU97" s="1"/>
      <c r="AV97" s="1"/>
      <c r="AW97" s="1"/>
      <c r="AX97" s="1"/>
      <c r="AY97" s="1"/>
      <c r="AZ97" s="1"/>
    </row>
    <row r="98" spans="1:52" s="12" customFormat="1" ht="14.4" customHeight="1" thickBot="1" x14ac:dyDescent="0.35">
      <c r="A98" s="1"/>
      <c r="B98" s="38"/>
      <c r="C98" s="262"/>
      <c r="D98" s="1"/>
      <c r="E98" s="223"/>
      <c r="F98" s="1"/>
      <c r="G98" s="27"/>
      <c r="H98" s="1"/>
      <c r="I98" s="1"/>
      <c r="J98" s="38" t="s">
        <v>122</v>
      </c>
      <c r="K98" s="293">
        <f>SUM(K95:K97)</f>
        <v>1060.0518326545723</v>
      </c>
      <c r="L98" s="1167" t="s">
        <v>114</v>
      </c>
      <c r="M98" s="252"/>
      <c r="N98" s="252"/>
      <c r="O98" s="635">
        <f>SUM(O95:O97)</f>
        <v>1060.0518326545723</v>
      </c>
      <c r="P98" s="1001" t="s">
        <v>114</v>
      </c>
      <c r="Q98" s="643">
        <f>SUM(Q95:Q97)</f>
        <v>1060.0518326545723</v>
      </c>
      <c r="R98" s="1036" t="s">
        <v>114</v>
      </c>
      <c r="S98" s="651">
        <f>SUM(S95:S97)</f>
        <v>1060.0518326545723</v>
      </c>
      <c r="T98" s="1039" t="s">
        <v>114</v>
      </c>
      <c r="U98" s="659">
        <f>SUM(U95:U97)</f>
        <v>1060.0518326545723</v>
      </c>
      <c r="V98" s="1042" t="s">
        <v>114</v>
      </c>
      <c r="W98" s="667">
        <f>SUM(W95:W97)</f>
        <v>1060.0518326545723</v>
      </c>
      <c r="X98" s="1045" t="s">
        <v>114</v>
      </c>
      <c r="Y98" s="1"/>
      <c r="Z98" s="1"/>
      <c r="AA98" s="1"/>
      <c r="AB98" s="1"/>
      <c r="AC98" s="1"/>
      <c r="AD98" s="1"/>
      <c r="AE98" s="212"/>
      <c r="AF98" s="1"/>
      <c r="AG98" s="1"/>
      <c r="AH98" s="295"/>
      <c r="AI98" s="296"/>
      <c r="AJ98" s="297" t="str">
        <f>J98</f>
        <v>Total Females (Not in Farrowing)</v>
      </c>
      <c r="AK98" s="298">
        <f>SUM(AK95:AK97)</f>
        <v>1060.0518326545723</v>
      </c>
      <c r="AL98" s="298"/>
      <c r="AM98" s="299">
        <f>SUM(AM95:AM97)</f>
        <v>1060.0518326545723</v>
      </c>
      <c r="AN98" s="299"/>
      <c r="AO98" s="300">
        <f>SUM(AO95:AO97)</f>
        <v>1060.0518326545723</v>
      </c>
      <c r="AP98" s="300"/>
      <c r="AQ98" s="301">
        <f>SUM(AQ95:AQ97)</f>
        <v>1060.0518326545723</v>
      </c>
      <c r="AR98" s="301"/>
      <c r="AS98" s="302">
        <f>SUM(AS95:AS97)</f>
        <v>1060.0518326545723</v>
      </c>
      <c r="AT98" s="303"/>
      <c r="AU98" s="1"/>
      <c r="AV98" s="1"/>
      <c r="AW98" s="1"/>
      <c r="AX98" s="1"/>
      <c r="AY98" s="1"/>
      <c r="AZ98" s="1"/>
    </row>
    <row r="99" spans="1:52" s="12" customFormat="1" ht="14.4" customHeight="1" x14ac:dyDescent="0.3">
      <c r="A99" s="1"/>
      <c r="B99" s="38"/>
      <c r="C99" s="262"/>
      <c r="D99" s="1"/>
      <c r="E99" s="40" t="str">
        <f>IF(AE95="ERROR",AA99,IF(AE96="ERROR",AA99,IF(AE97="ERROR",AA99,IF(AF95="ERROR",AA99,IF(AF96="ERROR",AA99,IF(AF97="ERROR",AA99,""))))))</f>
        <v/>
      </c>
      <c r="F99" s="1"/>
      <c r="G99" s="1"/>
      <c r="H99" s="1"/>
      <c r="I99" s="1"/>
      <c r="J99" s="1"/>
      <c r="K99" s="304" t="s">
        <v>117</v>
      </c>
      <c r="L99" s="192"/>
      <c r="M99" s="193"/>
      <c r="N99" s="193"/>
      <c r="O99" s="637">
        <f>O95*O64+O96*O65+O97*O66</f>
        <v>23636.898926323578</v>
      </c>
      <c r="P99" s="974" t="s">
        <v>34</v>
      </c>
      <c r="Q99" s="645">
        <f>Q95*Q64+Q96*Q65+Q97*Q66</f>
        <v>23636.898926323578</v>
      </c>
      <c r="R99" s="975" t="s">
        <v>34</v>
      </c>
      <c r="S99" s="653">
        <f>S95*S64+S96*S65+S97*S66</f>
        <v>23636.898926323578</v>
      </c>
      <c r="T99" s="976" t="s">
        <v>34</v>
      </c>
      <c r="U99" s="661">
        <f>U95*U64+U96*U65+U97*U66</f>
        <v>23636.898926323578</v>
      </c>
      <c r="V99" s="977" t="s">
        <v>34</v>
      </c>
      <c r="W99" s="668">
        <f>W95*W64+W96*W65+W97*W66</f>
        <v>28873.999259533499</v>
      </c>
      <c r="X99" s="978" t="s">
        <v>34</v>
      </c>
      <c r="Y99" s="40"/>
      <c r="Z99" s="1"/>
      <c r="AA99" s="40" t="s">
        <v>158</v>
      </c>
      <c r="AB99" s="1"/>
      <c r="AC99" s="1"/>
      <c r="AD99" s="1"/>
      <c r="AE99" s="1"/>
      <c r="AF99" s="1"/>
      <c r="AG99" s="1"/>
      <c r="AH99" s="1"/>
      <c r="AI99" s="6"/>
      <c r="AJ99" s="305" t="str">
        <f>K99</f>
        <v>Total Building Space Needed</v>
      </c>
      <c r="AK99" s="16">
        <f>AK95*O64+AK96*O65+AK97*O66</f>
        <v>23636.898926323578</v>
      </c>
      <c r="AL99" s="16"/>
      <c r="AM99" s="17">
        <f>AM95*Q64+AM96*Q65+AM97*Q66</f>
        <v>23636.898926323578</v>
      </c>
      <c r="AN99" s="17"/>
      <c r="AO99" s="18">
        <f>AO95*S64+AO96*S65+AO97*S66</f>
        <v>23636.898926323578</v>
      </c>
      <c r="AP99" s="18"/>
      <c r="AQ99" s="19">
        <f>AQ95*U64+AQ96*U65+AQ97*U66</f>
        <v>23636.898926323578</v>
      </c>
      <c r="AR99" s="19"/>
      <c r="AS99" s="11">
        <f>AS95*W64+AS96*W65+AS97*W66</f>
        <v>28873.999259533499</v>
      </c>
      <c r="AT99" s="11"/>
      <c r="AU99" s="1"/>
      <c r="AV99" s="1"/>
      <c r="AW99" s="1"/>
      <c r="AX99" s="1"/>
      <c r="AY99" s="1"/>
      <c r="AZ99" s="1"/>
    </row>
    <row r="100" spans="1:52" s="12" customFormat="1" ht="14.4" customHeight="1" thickBot="1" x14ac:dyDescent="0.35">
      <c r="A100" s="1"/>
      <c r="B100" s="38"/>
      <c r="C100" s="262"/>
      <c r="D100" s="1"/>
      <c r="E100" s="1"/>
      <c r="F100" s="1"/>
      <c r="G100" s="1"/>
      <c r="H100" s="1"/>
      <c r="I100" s="1"/>
      <c r="J100" s="1"/>
      <c r="K100" s="306" t="s">
        <v>138</v>
      </c>
      <c r="L100" s="307"/>
      <c r="M100" s="260"/>
      <c r="N100" s="260"/>
      <c r="O100" s="639">
        <f>IF($AE90=3,$O90,IF($AE90=4,0,IF($AE90=1,MIN(O99,$K70),IF($AE90=2,MIN(O99,$K70),ERROR))))</f>
        <v>22473.098852276933</v>
      </c>
      <c r="P100" s="996" t="s">
        <v>34</v>
      </c>
      <c r="Q100" s="647">
        <f>IF($AE90=3,$O90,IF($AE90=4,0,IF($AE90=1,MIN(Q99,$K70),IF($AE90=2,MIN(Q99,$K70),ERROR))))</f>
        <v>22473.098852276933</v>
      </c>
      <c r="R100" s="1037" t="s">
        <v>34</v>
      </c>
      <c r="S100" s="655">
        <f>IF($AE90=3,$O90,IF($AE90=4,0,IF($AE90=1,MIN(S99,$K70),IF($AE90=2,MIN(S99,$K70),ERROR))))</f>
        <v>22473.098852276933</v>
      </c>
      <c r="T100" s="1040" t="s">
        <v>34</v>
      </c>
      <c r="U100" s="663">
        <f>IF($AE90=3,$O90,IF($AE90=4,0,IF($AE90=1,MIN(U99,$K70),IF($AE90=2,MIN(U99,$K70),ERROR))))</f>
        <v>22473.098852276933</v>
      </c>
      <c r="V100" s="1043" t="s">
        <v>34</v>
      </c>
      <c r="W100" s="669">
        <f>IF($AE90=3,$O90,IF($AE90=4,0,IF($AE90=1,MIN(W99,$K70),IF($AE90=2,MIN(W99,$K70),ERROR))))</f>
        <v>22473.098852276933</v>
      </c>
      <c r="X100" s="1046" t="s">
        <v>34</v>
      </c>
      <c r="Y100" s="40"/>
      <c r="Z100" s="1"/>
      <c r="AA100" s="1"/>
      <c r="AB100" s="1"/>
      <c r="AC100" s="1"/>
      <c r="AD100" s="1"/>
      <c r="AE100" s="1"/>
      <c r="AF100" s="1"/>
      <c r="AG100" s="1"/>
      <c r="AH100" s="1"/>
      <c r="AI100" s="6"/>
      <c r="AJ100" s="305" t="str">
        <f>K100</f>
        <v>Existing Building Space to Remodel</v>
      </c>
      <c r="AK100" s="16">
        <f>IF(O99&gt;$K70,(IF($AE90=3,$O90,IF($AE90=4,0,IF($AE90=1,$K70,IF($AE90=2,$K70,ERROR))))),O99)</f>
        <v>22473.098852276933</v>
      </c>
      <c r="AL100" s="16"/>
      <c r="AM100" s="17">
        <f>IF(Q99&gt;$K70,(IF($AE90=3,$O90,IF($AE90=4,0,IF($AE90=1,$K70,IF($AE90=2,$K70,ERROR))))),Q99)</f>
        <v>22473.098852276933</v>
      </c>
      <c r="AN100" s="17"/>
      <c r="AO100" s="18">
        <f>IF(S99&gt;$K70,(IF($AE90=3,$O90,IF($AE90=4,0,IF($AE90=1,$K70,IF($AE90=2,$K70,ERROR))))),S99)</f>
        <v>22473.098852276933</v>
      </c>
      <c r="AP100" s="18"/>
      <c r="AQ100" s="19">
        <f>IF(U99&gt;$K70,(IF($AE90=3,$O90,IF($AE90=4,0,IF($AE90=1,$K70,IF($AE90=2,$K70,ERROR))))),U99)</f>
        <v>22473.098852276933</v>
      </c>
      <c r="AR100" s="19"/>
      <c r="AS100" s="11">
        <f>IF(W99&gt;$K70,(IF($AE90=3,$O90,IF($AE90=4,0,IF($AE90=1,$K70,IF($AE90=2,$K70,ERROR))))),W99)</f>
        <v>22473.098852276933</v>
      </c>
      <c r="AT100" s="11"/>
      <c r="AU100" s="1"/>
      <c r="AV100" s="1"/>
      <c r="AW100" s="1"/>
      <c r="AX100" s="1"/>
      <c r="AY100" s="1"/>
      <c r="AZ100" s="1"/>
    </row>
    <row r="101" spans="1:52" s="12" customFormat="1" ht="14.4" customHeight="1" x14ac:dyDescent="0.3">
      <c r="A101" s="1"/>
      <c r="B101" s="38"/>
      <c r="C101" s="262"/>
      <c r="D101" s="1"/>
      <c r="E101" s="1"/>
      <c r="F101" s="1"/>
      <c r="G101" s="1"/>
      <c r="H101" s="1"/>
      <c r="I101" s="1"/>
      <c r="J101" s="1"/>
      <c r="K101" s="308" t="s">
        <v>119</v>
      </c>
      <c r="L101" s="309"/>
      <c r="M101" s="310"/>
      <c r="N101" s="310"/>
      <c r="O101" s="635">
        <f>IF((O99-O100)&gt;1,O99-O100,0)</f>
        <v>1163.800074046645</v>
      </c>
      <c r="P101" s="1001" t="s">
        <v>34</v>
      </c>
      <c r="Q101" s="643">
        <f>IF((Q99-Q100)&gt;1,Q99-Q100,0)</f>
        <v>1163.800074046645</v>
      </c>
      <c r="R101" s="1036" t="s">
        <v>34</v>
      </c>
      <c r="S101" s="651">
        <f>IF((S99-S100)&gt;1,S99-S100,0)</f>
        <v>1163.800074046645</v>
      </c>
      <c r="T101" s="1039" t="s">
        <v>34</v>
      </c>
      <c r="U101" s="659">
        <f>IF((U99-U100)&gt;1,U99-U100,0)</f>
        <v>1163.800074046645</v>
      </c>
      <c r="V101" s="1042" t="s">
        <v>34</v>
      </c>
      <c r="W101" s="667">
        <f>IF((W99-W100)&gt;1,W99-W100,0)</f>
        <v>6400.9004072565658</v>
      </c>
      <c r="X101" s="1045" t="s">
        <v>34</v>
      </c>
      <c r="Y101" s="40"/>
      <c r="Z101" s="1"/>
      <c r="AA101" s="1"/>
      <c r="AB101" s="1"/>
      <c r="AC101" s="1"/>
      <c r="AD101" s="1"/>
      <c r="AE101" s="1"/>
      <c r="AF101" s="1"/>
      <c r="AG101" s="1"/>
      <c r="AH101" s="1"/>
      <c r="AI101" s="6"/>
      <c r="AJ101" s="305" t="str">
        <f>K101</f>
        <v>New Building Space to Add</v>
      </c>
      <c r="AK101" s="16"/>
      <c r="AL101" s="16"/>
      <c r="AM101" s="17"/>
      <c r="AN101" s="17"/>
      <c r="AO101" s="18"/>
      <c r="AP101" s="18"/>
      <c r="AQ101" s="19"/>
      <c r="AR101" s="19"/>
      <c r="AS101" s="11"/>
      <c r="AT101" s="11"/>
      <c r="AU101" s="1"/>
      <c r="AV101" s="1"/>
      <c r="AW101" s="1"/>
      <c r="AX101" s="1"/>
      <c r="AY101" s="1"/>
      <c r="AZ101" s="1"/>
    </row>
    <row r="102" spans="1:52" s="12" customFormat="1" ht="14.4" customHeight="1" thickBot="1" x14ac:dyDescent="0.35">
      <c r="A102" s="1"/>
      <c r="B102" s="38"/>
      <c r="C102" s="262"/>
      <c r="D102" s="1"/>
      <c r="E102" s="1"/>
      <c r="F102" s="1"/>
      <c r="G102" s="1"/>
      <c r="H102" s="1"/>
      <c r="I102" s="1"/>
      <c r="J102" s="1"/>
      <c r="K102" s="306" t="s">
        <v>130</v>
      </c>
      <c r="L102" s="307"/>
      <c r="M102" s="260"/>
      <c r="N102" s="311"/>
      <c r="O102" s="639">
        <f>IF($AE90=1,O79,O61)</f>
        <v>28800</v>
      </c>
      <c r="P102" s="996" t="s">
        <v>114</v>
      </c>
      <c r="Q102" s="647">
        <f>IF($AE90=1,Q79,Q61)</f>
        <v>28800</v>
      </c>
      <c r="R102" s="1037" t="s">
        <v>114</v>
      </c>
      <c r="S102" s="655">
        <f>IF($AE90=1,S79,S61)</f>
        <v>28800</v>
      </c>
      <c r="T102" s="1040" t="s">
        <v>114</v>
      </c>
      <c r="U102" s="663">
        <f>IF($AE90=1,U79,U61)</f>
        <v>28800</v>
      </c>
      <c r="V102" s="1043" t="s">
        <v>114</v>
      </c>
      <c r="W102" s="669">
        <f>IF($AE90=1,W79,W61)</f>
        <v>28800</v>
      </c>
      <c r="X102" s="1046" t="s">
        <v>114</v>
      </c>
      <c r="Y102" s="1"/>
      <c r="Z102" s="1"/>
      <c r="AA102" s="1"/>
      <c r="AB102" s="1"/>
      <c r="AC102" s="1"/>
      <c r="AD102" s="1"/>
      <c r="AE102" s="1"/>
      <c r="AF102" s="1"/>
      <c r="AG102" s="1"/>
      <c r="AH102" s="1"/>
      <c r="AI102" s="6"/>
      <c r="AJ102" s="272"/>
      <c r="AK102" s="16"/>
      <c r="AL102" s="16"/>
      <c r="AM102" s="17"/>
      <c r="AN102" s="17"/>
      <c r="AO102" s="18"/>
      <c r="AP102" s="18"/>
      <c r="AQ102" s="19"/>
      <c r="AR102" s="19"/>
      <c r="AS102" s="11"/>
      <c r="AT102" s="11"/>
      <c r="AU102" s="1"/>
      <c r="AV102" s="1"/>
      <c r="AW102" s="1"/>
      <c r="AX102" s="1"/>
      <c r="AY102" s="1"/>
      <c r="AZ102" s="1"/>
    </row>
    <row r="103" spans="1:52" s="12" customFormat="1" ht="14.4" customHeight="1" thickBot="1" x14ac:dyDescent="0.35">
      <c r="B103" s="312"/>
      <c r="C103" s="312"/>
      <c r="D103" s="312"/>
      <c r="E103" s="312"/>
      <c r="F103" s="312"/>
      <c r="G103" s="312"/>
      <c r="H103" s="312"/>
      <c r="I103" s="312"/>
      <c r="J103" s="312"/>
      <c r="K103" s="312"/>
      <c r="L103" s="312"/>
      <c r="M103" s="312"/>
      <c r="N103" s="1"/>
      <c r="O103" s="1"/>
      <c r="P103" s="1"/>
      <c r="Q103" s="1"/>
      <c r="R103" s="1"/>
      <c r="S103" s="1"/>
      <c r="T103" s="1"/>
      <c r="U103" s="1"/>
      <c r="V103" s="1"/>
      <c r="W103" s="1"/>
      <c r="X103" s="1"/>
      <c r="Y103" s="1"/>
      <c r="Z103" s="1"/>
      <c r="AA103" s="1"/>
      <c r="AB103" s="1"/>
      <c r="AC103" s="1"/>
      <c r="AD103" s="1"/>
      <c r="AE103" s="1"/>
      <c r="AF103" s="1"/>
      <c r="AG103" s="1"/>
      <c r="AH103" s="1"/>
      <c r="AI103" s="6"/>
      <c r="AJ103" s="272"/>
      <c r="AK103" s="16"/>
      <c r="AL103" s="16"/>
      <c r="AM103" s="17"/>
      <c r="AN103" s="17"/>
      <c r="AO103" s="18"/>
      <c r="AP103" s="18"/>
      <c r="AQ103" s="19"/>
      <c r="AR103" s="19"/>
      <c r="AS103" s="11"/>
      <c r="AT103" s="11"/>
      <c r="AU103" s="1"/>
      <c r="AV103" s="1"/>
      <c r="AW103" s="1"/>
      <c r="AX103" s="1"/>
      <c r="AY103" s="1"/>
      <c r="AZ103" s="1"/>
    </row>
    <row r="104" spans="1:52" s="12" customFormat="1" ht="14.4" customHeight="1" thickBot="1" x14ac:dyDescent="0.35">
      <c r="A104" s="40"/>
      <c r="B104" s="1"/>
      <c r="C104" s="1"/>
      <c r="D104" s="1"/>
      <c r="E104" s="1"/>
      <c r="F104" s="1"/>
      <c r="G104" s="313"/>
      <c r="H104" s="313"/>
      <c r="I104" s="314"/>
      <c r="J104" s="313"/>
      <c r="K104" s="379" t="str">
        <f>K55</f>
        <v>Existing Production System</v>
      </c>
      <c r="L104" s="379"/>
      <c r="M104" s="315"/>
      <c r="N104" s="316" t="s">
        <v>189</v>
      </c>
      <c r="O104" s="1181" t="str">
        <f>O56</f>
        <v>1. Floor Feeding</v>
      </c>
      <c r="P104" s="1182"/>
      <c r="Q104" s="1183" t="str">
        <f>Q56</f>
        <v xml:space="preserve">2. Short Stalls </v>
      </c>
      <c r="R104" s="1184"/>
      <c r="S104" s="1185" t="str">
        <f>S56</f>
        <v>3. Trickle Feeding</v>
      </c>
      <c r="T104" s="1186"/>
      <c r="U104" s="1187" t="str">
        <f>U56</f>
        <v>4. Elec Sow Feeding</v>
      </c>
      <c r="V104" s="1188"/>
      <c r="W104" s="1189" t="str">
        <f>W56</f>
        <v>5. Free Access Stalls</v>
      </c>
      <c r="X104" s="1190"/>
      <c r="Y104" s="1"/>
      <c r="Z104" s="1"/>
      <c r="AA104" s="1"/>
      <c r="AB104" s="1"/>
      <c r="AC104" s="1"/>
      <c r="AD104" s="1"/>
      <c r="AE104" s="1"/>
      <c r="AF104" s="1"/>
      <c r="AG104" s="1"/>
      <c r="AH104" s="1"/>
      <c r="AI104" s="6"/>
      <c r="AJ104" s="6"/>
      <c r="AK104" s="16"/>
      <c r="AL104" s="16"/>
      <c r="AM104" s="17"/>
      <c r="AN104" s="17"/>
      <c r="AO104" s="18"/>
      <c r="AP104" s="18"/>
      <c r="AQ104" s="19"/>
      <c r="AR104" s="19"/>
      <c r="AS104" s="11"/>
      <c r="AT104" s="11"/>
      <c r="AU104" s="1"/>
      <c r="AV104" s="1"/>
      <c r="AW104" s="1"/>
      <c r="AX104" s="1"/>
      <c r="AY104" s="1"/>
      <c r="AZ104" s="1"/>
    </row>
    <row r="105" spans="1:52" s="12" customFormat="1" ht="14.4" customHeight="1" x14ac:dyDescent="0.3">
      <c r="A105" s="1"/>
      <c r="B105" s="206"/>
      <c r="C105" s="1"/>
      <c r="D105" s="1"/>
      <c r="E105" s="1"/>
      <c r="F105" s="40"/>
      <c r="G105" s="1"/>
      <c r="H105" s="1"/>
      <c r="I105" s="1"/>
      <c r="J105" s="214"/>
      <c r="K105" s="613" t="s">
        <v>137</v>
      </c>
      <c r="L105" s="614"/>
      <c r="M105" s="611"/>
      <c r="N105" s="193" t="s">
        <v>135</v>
      </c>
      <c r="O105" s="615" t="str">
        <f>IF($AE$90=1,$AA$90,IF($AE$90=2,$AA$91,IF($AE$90=3,$AA$92,IF($AE$90=4,$AA$93,"ERROR"))))</f>
        <v>2. Remodel Existing &amp; Add Space (to produce same number of pigs)</v>
      </c>
      <c r="P105" s="617"/>
      <c r="Q105" s="619" t="str">
        <f>IF($AE$90=1,$AA$90,IF($AE$90=2,$AA$91,IF($AE$90=3,$AA$92,IF($AE$90=4,$AA$93,"ERROR"))))</f>
        <v>2. Remodel Existing &amp; Add Space (to produce same number of pigs)</v>
      </c>
      <c r="R105" s="620"/>
      <c r="S105" s="623" t="str">
        <f>IF($AE$90=1,$AA$90,IF($AE$90=2,$AA$91,IF($AE$90=3,$AA$92,IF($AE$90=4,$AA$93,"ERROR"))))</f>
        <v>2. Remodel Existing &amp; Add Space (to produce same number of pigs)</v>
      </c>
      <c r="T105" s="624"/>
      <c r="U105" s="627" t="str">
        <f>IF($AE$90=1,$AA$90,IF($AE$90=2,$AA$91,IF($AE$90=3,$AA$92,IF($AE$90=4,$AA$93,"ERROR"))))</f>
        <v>2. Remodel Existing &amp; Add Space (to produce same number of pigs)</v>
      </c>
      <c r="V105" s="628"/>
      <c r="W105" s="631" t="str">
        <f>IF($AE$90=1,$AA$90,IF($AE$90=2,$AA$91,IF($AE$90=3,$AA$92,IF($AE$90=4,$AA$93,"ERROR"))))</f>
        <v>2. Remodel Existing &amp; Add Space (to produce same number of pigs)</v>
      </c>
      <c r="X105" s="317"/>
      <c r="Y105" s="1" t="s">
        <v>235</v>
      </c>
      <c r="Z105" s="1"/>
      <c r="AA105" s="1"/>
      <c r="AB105" s="1"/>
      <c r="AC105" s="1"/>
      <c r="AD105" s="1"/>
      <c r="AE105" s="1"/>
      <c r="AF105" s="1"/>
      <c r="AG105" s="1"/>
      <c r="AH105" s="1"/>
      <c r="AI105" s="6"/>
      <c r="AJ105" s="6"/>
      <c r="AK105" s="16"/>
      <c r="AL105" s="16"/>
      <c r="AM105" s="17"/>
      <c r="AN105" s="17"/>
      <c r="AO105" s="18"/>
      <c r="AP105" s="18"/>
      <c r="AQ105" s="19"/>
      <c r="AR105" s="19"/>
      <c r="AS105" s="11"/>
      <c r="AT105" s="11"/>
      <c r="AU105" s="1"/>
      <c r="AV105" s="1"/>
      <c r="AW105" s="1"/>
      <c r="AX105" s="1"/>
      <c r="AY105" s="1"/>
      <c r="AZ105" s="1"/>
    </row>
    <row r="106" spans="1:52" s="12" customFormat="1" ht="31.2" customHeight="1" thickBot="1" x14ac:dyDescent="0.35">
      <c r="A106" s="1"/>
      <c r="B106" s="1"/>
      <c r="C106" s="1"/>
      <c r="D106" s="3"/>
      <c r="E106" s="1"/>
      <c r="F106" s="1"/>
      <c r="G106" s="223"/>
      <c r="H106" s="223"/>
      <c r="I106" s="223"/>
      <c r="J106" s="223"/>
      <c r="K106" s="921" t="s">
        <v>264</v>
      </c>
      <c r="L106" s="319" t="s">
        <v>40</v>
      </c>
      <c r="M106" s="923" t="s">
        <v>124</v>
      </c>
      <c r="N106" s="320" t="s">
        <v>125</v>
      </c>
      <c r="O106" s="616" t="s">
        <v>126</v>
      </c>
      <c r="P106" s="618" t="s">
        <v>40</v>
      </c>
      <c r="Q106" s="621" t="s">
        <v>126</v>
      </c>
      <c r="R106" s="622" t="s">
        <v>40</v>
      </c>
      <c r="S106" s="625" t="s">
        <v>126</v>
      </c>
      <c r="T106" s="626" t="s">
        <v>40</v>
      </c>
      <c r="U106" s="629" t="s">
        <v>126</v>
      </c>
      <c r="V106" s="630" t="s">
        <v>40</v>
      </c>
      <c r="W106" s="632" t="s">
        <v>126</v>
      </c>
      <c r="X106" s="377" t="s">
        <v>40</v>
      </c>
      <c r="Y106" s="265"/>
      <c r="Z106" s="265"/>
      <c r="AA106" s="265"/>
      <c r="AB106" s="265"/>
      <c r="AC106" s="265"/>
      <c r="AD106" s="265"/>
      <c r="AE106" s="265"/>
      <c r="AF106" s="265"/>
      <c r="AG106" s="265"/>
      <c r="AH106" s="1"/>
      <c r="AI106" s="6"/>
      <c r="AJ106" s="6"/>
      <c r="AK106" s="16" t="s">
        <v>55</v>
      </c>
      <c r="AL106" s="16"/>
      <c r="AM106" s="17"/>
      <c r="AN106" s="17"/>
      <c r="AO106" s="18"/>
      <c r="AP106" s="18"/>
      <c r="AQ106" s="19"/>
      <c r="AR106" s="19"/>
      <c r="AS106" s="11"/>
      <c r="AT106" s="11"/>
      <c r="AU106" s="1"/>
      <c r="AV106" s="1"/>
      <c r="AW106" s="1"/>
      <c r="AX106" s="1"/>
      <c r="AY106" s="1"/>
      <c r="AZ106" s="1"/>
    </row>
    <row r="107" spans="1:52" s="12" customFormat="1" ht="14.4" customHeight="1" x14ac:dyDescent="0.3">
      <c r="A107" s="1"/>
      <c r="B107" s="1"/>
      <c r="C107" s="2"/>
      <c r="D107" s="3"/>
      <c r="E107" s="1"/>
      <c r="F107" s="1"/>
      <c r="G107" s="1"/>
      <c r="H107" s="14" t="s">
        <v>7</v>
      </c>
      <c r="I107" s="13"/>
      <c r="J107" s="13"/>
      <c r="K107" s="602">
        <f>'Beginning Version'!K107</f>
        <v>0</v>
      </c>
      <c r="L107" s="1122">
        <f>'Beginning Version'!L107</f>
        <v>12.5</v>
      </c>
      <c r="M107" s="588">
        <v>2.0160000000000001E-2</v>
      </c>
      <c r="N107" s="606" t="s">
        <v>90</v>
      </c>
      <c r="O107" s="602">
        <f>O$101*$M107</f>
        <v>23.462209492780364</v>
      </c>
      <c r="P107" s="1126">
        <v>25</v>
      </c>
      <c r="Q107" s="602">
        <f t="shared" ref="Q107:Q113" si="0">Q$101*$M107</f>
        <v>23.462209492780364</v>
      </c>
      <c r="R107" s="1126">
        <f>P107</f>
        <v>25</v>
      </c>
      <c r="S107" s="602">
        <f t="shared" ref="S107:S113" si="1">S$101*$M107</f>
        <v>23.462209492780364</v>
      </c>
      <c r="T107" s="1126">
        <f>R107</f>
        <v>25</v>
      </c>
      <c r="U107" s="602">
        <f t="shared" ref="U107:U113" si="2">U$101*$M107</f>
        <v>23.462209492780364</v>
      </c>
      <c r="V107" s="1126">
        <f>T107</f>
        <v>25</v>
      </c>
      <c r="W107" s="602">
        <f t="shared" ref="W107:W113" si="3">W$101*$M107</f>
        <v>129.04215221029239</v>
      </c>
      <c r="X107" s="1126">
        <f>V107</f>
        <v>25</v>
      </c>
      <c r="Y107" s="1"/>
      <c r="Z107" s="1"/>
      <c r="AA107" s="1"/>
      <c r="AB107" s="1"/>
      <c r="AC107" s="1"/>
      <c r="AD107" s="1"/>
      <c r="AE107" s="1"/>
      <c r="AF107" s="1"/>
      <c r="AG107" s="1"/>
      <c r="AH107" s="16">
        <f t="shared" ref="AH107:AH115" si="4">PMT($I$42,L107,K107,0,0)</f>
        <v>0</v>
      </c>
      <c r="AI107" s="6"/>
      <c r="AJ107" s="6"/>
      <c r="AK107" s="16">
        <f t="shared" ref="AK107:AK115" si="5">PMT($I$42,P107,O107,0,0)</f>
        <v>-2.1979111391451611</v>
      </c>
      <c r="AL107" s="16"/>
      <c r="AM107" s="17">
        <f t="shared" ref="AM107:AM115" si="6">PMT($I$42,R107,Q107,0,0)</f>
        <v>-2.1979111391451611</v>
      </c>
      <c r="AN107" s="17"/>
      <c r="AO107" s="18">
        <f t="shared" ref="AO107:AO115" si="7">PMT($I$42,T107,S107,0,0)</f>
        <v>-2.1979111391451611</v>
      </c>
      <c r="AP107" s="18"/>
      <c r="AQ107" s="19">
        <f t="shared" ref="AQ107:AQ115" si="8">PMT($I$42,V107,U107,0,0)</f>
        <v>-2.1979111391451611</v>
      </c>
      <c r="AR107" s="19"/>
      <c r="AS107" s="11">
        <f t="shared" ref="AS107:AS115" si="9">PMT($I$42,X107,W107,0,0)</f>
        <v>-12.088511265298422</v>
      </c>
      <c r="AT107" s="11"/>
      <c r="AU107" s="1"/>
      <c r="AV107" s="1"/>
      <c r="AW107" s="1"/>
      <c r="AX107" s="1"/>
      <c r="AY107" s="1"/>
      <c r="AZ107" s="1"/>
    </row>
    <row r="108" spans="1:52" s="12" customFormat="1" ht="14.4" customHeight="1" x14ac:dyDescent="0.3">
      <c r="A108" s="1"/>
      <c r="B108" s="1"/>
      <c r="C108" s="2"/>
      <c r="D108" s="20"/>
      <c r="E108" s="1"/>
      <c r="F108" s="1"/>
      <c r="G108" s="1"/>
      <c r="H108" s="21" t="s">
        <v>8</v>
      </c>
      <c r="I108" s="22"/>
      <c r="J108" s="22"/>
      <c r="K108" s="603">
        <f>'Beginning Version'!K108</f>
        <v>0</v>
      </c>
      <c r="L108" s="1123">
        <f>'Beginning Version'!L108</f>
        <v>12.5</v>
      </c>
      <c r="M108" s="589">
        <v>8.1270000000000007</v>
      </c>
      <c r="N108" s="607" t="s">
        <v>90</v>
      </c>
      <c r="O108" s="603">
        <f t="shared" ref="O108:O113" si="10">O$101*$M108</f>
        <v>9458.2032017770853</v>
      </c>
      <c r="P108" s="1127">
        <v>25</v>
      </c>
      <c r="Q108" s="603">
        <f t="shared" si="0"/>
        <v>9458.2032017770853</v>
      </c>
      <c r="R108" s="1127">
        <f t="shared" ref="R108:R132" si="11">P108</f>
        <v>25</v>
      </c>
      <c r="S108" s="603">
        <f t="shared" si="1"/>
        <v>9458.2032017770853</v>
      </c>
      <c r="T108" s="1127">
        <f t="shared" ref="T108:T132" si="12">R108</f>
        <v>25</v>
      </c>
      <c r="U108" s="603">
        <f>U$101*$M108</f>
        <v>9458.2032017770853</v>
      </c>
      <c r="V108" s="1127">
        <f t="shared" ref="V108:V132" si="13">T108</f>
        <v>25</v>
      </c>
      <c r="W108" s="603">
        <f t="shared" si="3"/>
        <v>52020.117609774112</v>
      </c>
      <c r="X108" s="1127">
        <f t="shared" ref="X108:X132" si="14">V108</f>
        <v>25</v>
      </c>
      <c r="Y108" s="1"/>
      <c r="Z108" s="1"/>
      <c r="AA108" s="1"/>
      <c r="AB108" s="1"/>
      <c r="AC108" s="1"/>
      <c r="AD108" s="1"/>
      <c r="AE108" s="1"/>
      <c r="AF108" s="1"/>
      <c r="AG108" s="1"/>
      <c r="AH108" s="16">
        <f t="shared" si="4"/>
        <v>0</v>
      </c>
      <c r="AI108" s="6"/>
      <c r="AJ108" s="6"/>
      <c r="AK108" s="16">
        <f t="shared" si="5"/>
        <v>-886.03292796789322</v>
      </c>
      <c r="AL108" s="16"/>
      <c r="AM108" s="17">
        <f t="shared" si="6"/>
        <v>-886.03292796789322</v>
      </c>
      <c r="AN108" s="17"/>
      <c r="AO108" s="18">
        <f t="shared" si="7"/>
        <v>-886.03292796789322</v>
      </c>
      <c r="AP108" s="18"/>
      <c r="AQ108" s="19">
        <f t="shared" si="8"/>
        <v>-886.03292796789322</v>
      </c>
      <c r="AR108" s="19"/>
      <c r="AS108" s="11">
        <f t="shared" si="9"/>
        <v>-4873.1811038234255</v>
      </c>
      <c r="AT108" s="11"/>
      <c r="AU108" s="1"/>
      <c r="AV108" s="1"/>
      <c r="AW108" s="1"/>
      <c r="AX108" s="1"/>
      <c r="AY108" s="1"/>
      <c r="AZ108" s="1"/>
    </row>
    <row r="109" spans="1:52" s="12" customFormat="1" ht="14.4" customHeight="1" thickBot="1" x14ac:dyDescent="0.35">
      <c r="A109" s="1"/>
      <c r="B109" s="1"/>
      <c r="C109" s="2"/>
      <c r="D109" s="3"/>
      <c r="E109" s="1"/>
      <c r="F109" s="1"/>
      <c r="G109" s="1"/>
      <c r="H109" s="24" t="s">
        <v>9</v>
      </c>
      <c r="I109" s="25"/>
      <c r="J109" s="25"/>
      <c r="K109" s="604">
        <f>'Beginning Version'!K109</f>
        <v>0</v>
      </c>
      <c r="L109" s="1124">
        <f>'Beginning Version'!L109</f>
        <v>12.5</v>
      </c>
      <c r="M109" s="590">
        <v>0</v>
      </c>
      <c r="N109" s="608" t="s">
        <v>90</v>
      </c>
      <c r="O109" s="604">
        <f t="shared" si="10"/>
        <v>0</v>
      </c>
      <c r="P109" s="1128">
        <v>25</v>
      </c>
      <c r="Q109" s="604">
        <f t="shared" si="0"/>
        <v>0</v>
      </c>
      <c r="R109" s="1128">
        <f t="shared" si="11"/>
        <v>25</v>
      </c>
      <c r="S109" s="604">
        <f t="shared" si="1"/>
        <v>0</v>
      </c>
      <c r="T109" s="1128">
        <f t="shared" si="12"/>
        <v>25</v>
      </c>
      <c r="U109" s="604">
        <f t="shared" si="2"/>
        <v>0</v>
      </c>
      <c r="V109" s="1128">
        <f t="shared" si="13"/>
        <v>25</v>
      </c>
      <c r="W109" s="604">
        <f t="shared" si="3"/>
        <v>0</v>
      </c>
      <c r="X109" s="1128">
        <f t="shared" si="14"/>
        <v>25</v>
      </c>
      <c r="Y109" s="1"/>
      <c r="Z109" s="1"/>
      <c r="AA109" s="1"/>
      <c r="AB109" s="1"/>
      <c r="AC109" s="1"/>
      <c r="AD109" s="1"/>
      <c r="AE109" s="1"/>
      <c r="AF109" s="1"/>
      <c r="AG109" s="1"/>
      <c r="AH109" s="16">
        <f t="shared" si="4"/>
        <v>0</v>
      </c>
      <c r="AI109" s="6"/>
      <c r="AJ109" s="6"/>
      <c r="AK109" s="16">
        <f t="shared" si="5"/>
        <v>0</v>
      </c>
      <c r="AL109" s="16"/>
      <c r="AM109" s="17">
        <f t="shared" si="6"/>
        <v>0</v>
      </c>
      <c r="AN109" s="17"/>
      <c r="AO109" s="18">
        <f t="shared" si="7"/>
        <v>0</v>
      </c>
      <c r="AP109" s="18"/>
      <c r="AQ109" s="19">
        <f t="shared" si="8"/>
        <v>0</v>
      </c>
      <c r="AR109" s="19"/>
      <c r="AS109" s="11">
        <f t="shared" si="9"/>
        <v>0</v>
      </c>
      <c r="AT109" s="11"/>
      <c r="AU109" s="1"/>
      <c r="AV109" s="1"/>
      <c r="AW109" s="1"/>
      <c r="AX109" s="1"/>
      <c r="AY109" s="1"/>
      <c r="AZ109" s="1"/>
    </row>
    <row r="110" spans="1:52" s="12" customFormat="1" ht="14.4" customHeight="1" x14ac:dyDescent="0.3">
      <c r="A110" s="1"/>
      <c r="B110" s="1"/>
      <c r="C110" s="2"/>
      <c r="D110" s="20"/>
      <c r="E110" s="1"/>
      <c r="F110" s="1"/>
      <c r="G110" s="1"/>
      <c r="H110" s="14"/>
      <c r="I110" s="13" t="s">
        <v>41</v>
      </c>
      <c r="J110" s="13"/>
      <c r="K110" s="602">
        <f>'Beginning Version'!K110</f>
        <v>0</v>
      </c>
      <c r="L110" s="1122">
        <f>'Beginning Version'!L110</f>
        <v>12.5</v>
      </c>
      <c r="M110" s="591">
        <v>0.98933000000000004</v>
      </c>
      <c r="N110" s="609" t="s">
        <v>90</v>
      </c>
      <c r="O110" s="602">
        <f t="shared" si="10"/>
        <v>1151.3823272565674</v>
      </c>
      <c r="P110" s="1126">
        <v>25</v>
      </c>
      <c r="Q110" s="602">
        <f t="shared" si="0"/>
        <v>1151.3823272565674</v>
      </c>
      <c r="R110" s="1126">
        <f t="shared" si="11"/>
        <v>25</v>
      </c>
      <c r="S110" s="602">
        <f t="shared" si="1"/>
        <v>1151.3823272565674</v>
      </c>
      <c r="T110" s="1126">
        <f t="shared" si="12"/>
        <v>25</v>
      </c>
      <c r="U110" s="602">
        <f t="shared" si="2"/>
        <v>1151.3823272565674</v>
      </c>
      <c r="V110" s="1126">
        <f t="shared" si="13"/>
        <v>25</v>
      </c>
      <c r="W110" s="602">
        <f t="shared" si="3"/>
        <v>6332.6027999111384</v>
      </c>
      <c r="X110" s="1126">
        <f t="shared" si="14"/>
        <v>25</v>
      </c>
      <c r="Y110" s="1"/>
      <c r="Z110" s="1"/>
      <c r="AA110" s="1"/>
      <c r="AB110" s="1"/>
      <c r="AC110" s="1"/>
      <c r="AD110" s="1"/>
      <c r="AE110" s="1"/>
      <c r="AF110" s="1"/>
      <c r="AG110" s="1"/>
      <c r="AH110" s="16">
        <f t="shared" si="4"/>
        <v>0</v>
      </c>
      <c r="AI110" s="6"/>
      <c r="AJ110" s="6"/>
      <c r="AK110" s="16">
        <f t="shared" si="5"/>
        <v>-107.86009063940885</v>
      </c>
      <c r="AL110" s="16"/>
      <c r="AM110" s="17">
        <f t="shared" si="6"/>
        <v>-107.86009063940885</v>
      </c>
      <c r="AN110" s="17"/>
      <c r="AO110" s="18">
        <f t="shared" si="7"/>
        <v>-107.86009063940885</v>
      </c>
      <c r="AP110" s="18"/>
      <c r="AQ110" s="19">
        <f t="shared" si="8"/>
        <v>-107.86009063940885</v>
      </c>
      <c r="AR110" s="19"/>
      <c r="AS110" s="11">
        <f t="shared" si="9"/>
        <v>-593.23049851675034</v>
      </c>
      <c r="AT110" s="11"/>
      <c r="AU110" s="1"/>
      <c r="AV110" s="1"/>
      <c r="AW110" s="1"/>
      <c r="AX110" s="1"/>
      <c r="AY110" s="1"/>
      <c r="AZ110" s="1"/>
    </row>
    <row r="111" spans="1:52" s="12" customFormat="1" ht="14.4" customHeight="1" x14ac:dyDescent="0.3">
      <c r="A111" s="1"/>
      <c r="B111" s="1"/>
      <c r="C111" s="2"/>
      <c r="D111" s="3"/>
      <c r="E111" s="1"/>
      <c r="F111" s="1"/>
      <c r="G111" s="1"/>
      <c r="H111" s="21"/>
      <c r="I111" s="22" t="s">
        <v>10</v>
      </c>
      <c r="J111" s="22"/>
      <c r="K111" s="603">
        <f>'Beginning Version'!K111</f>
        <v>0</v>
      </c>
      <c r="L111" s="1123">
        <f>'Beginning Version'!L111</f>
        <v>12.5</v>
      </c>
      <c r="M111" s="589">
        <v>2.0160000000000001E-2</v>
      </c>
      <c r="N111" s="607" t="s">
        <v>90</v>
      </c>
      <c r="O111" s="603">
        <f t="shared" si="10"/>
        <v>23.462209492780364</v>
      </c>
      <c r="P111" s="1127">
        <v>25</v>
      </c>
      <c r="Q111" s="603">
        <f t="shared" si="0"/>
        <v>23.462209492780364</v>
      </c>
      <c r="R111" s="1127">
        <f t="shared" si="11"/>
        <v>25</v>
      </c>
      <c r="S111" s="603">
        <f t="shared" si="1"/>
        <v>23.462209492780364</v>
      </c>
      <c r="T111" s="1127">
        <f t="shared" si="12"/>
        <v>25</v>
      </c>
      <c r="U111" s="603">
        <f t="shared" si="2"/>
        <v>23.462209492780364</v>
      </c>
      <c r="V111" s="1127">
        <f t="shared" si="13"/>
        <v>25</v>
      </c>
      <c r="W111" s="603">
        <f t="shared" si="3"/>
        <v>129.04215221029239</v>
      </c>
      <c r="X111" s="1127">
        <f t="shared" si="14"/>
        <v>25</v>
      </c>
      <c r="Y111" s="26"/>
      <c r="Z111" s="1"/>
      <c r="AA111" s="1"/>
      <c r="AB111" s="1"/>
      <c r="AC111" s="1"/>
      <c r="AD111" s="1"/>
      <c r="AE111" s="1"/>
      <c r="AF111" s="1"/>
      <c r="AG111" s="1"/>
      <c r="AH111" s="16">
        <f t="shared" si="4"/>
        <v>0</v>
      </c>
      <c r="AI111" s="6"/>
      <c r="AJ111" s="6"/>
      <c r="AK111" s="16">
        <f t="shared" si="5"/>
        <v>-2.1979111391451611</v>
      </c>
      <c r="AL111" s="16"/>
      <c r="AM111" s="17">
        <f t="shared" si="6"/>
        <v>-2.1979111391451611</v>
      </c>
      <c r="AN111" s="17"/>
      <c r="AO111" s="18">
        <f t="shared" si="7"/>
        <v>-2.1979111391451611</v>
      </c>
      <c r="AP111" s="18"/>
      <c r="AQ111" s="19">
        <f t="shared" si="8"/>
        <v>-2.1979111391451611</v>
      </c>
      <c r="AR111" s="19"/>
      <c r="AS111" s="11">
        <f t="shared" si="9"/>
        <v>-12.088511265298422</v>
      </c>
      <c r="AT111" s="11"/>
      <c r="AU111" s="1"/>
      <c r="AV111" s="1"/>
      <c r="AW111" s="1"/>
      <c r="AX111" s="1"/>
      <c r="AY111" s="1"/>
      <c r="AZ111" s="1"/>
    </row>
    <row r="112" spans="1:52" s="12" customFormat="1" ht="14.4" customHeight="1" thickBot="1" x14ac:dyDescent="0.35">
      <c r="A112" s="1"/>
      <c r="B112" s="1"/>
      <c r="C112" s="2"/>
      <c r="D112" s="20"/>
      <c r="E112" s="1"/>
      <c r="F112" s="1"/>
      <c r="G112" s="1"/>
      <c r="H112" s="24" t="s">
        <v>71</v>
      </c>
      <c r="I112" s="25"/>
      <c r="J112" s="25"/>
      <c r="K112" s="604">
        <f>'Beginning Version'!K112</f>
        <v>0</v>
      </c>
      <c r="L112" s="1124">
        <f>'Beginning Version'!L112</f>
        <v>12.5</v>
      </c>
      <c r="M112" s="590">
        <v>7.3404999999999996</v>
      </c>
      <c r="N112" s="608" t="s">
        <v>90</v>
      </c>
      <c r="O112" s="604">
        <f>O$101*$M112</f>
        <v>8542.8744435393965</v>
      </c>
      <c r="P112" s="1128">
        <v>25</v>
      </c>
      <c r="Q112" s="604">
        <f t="shared" si="0"/>
        <v>8542.8744435393965</v>
      </c>
      <c r="R112" s="1128">
        <f t="shared" si="11"/>
        <v>25</v>
      </c>
      <c r="S112" s="604">
        <f t="shared" si="1"/>
        <v>8542.8744435393965</v>
      </c>
      <c r="T112" s="1128">
        <f t="shared" si="12"/>
        <v>25</v>
      </c>
      <c r="U112" s="604">
        <f t="shared" si="2"/>
        <v>8542.8744435393965</v>
      </c>
      <c r="V112" s="1128">
        <f t="shared" si="13"/>
        <v>25</v>
      </c>
      <c r="W112" s="604">
        <f>W$101*$M112</f>
        <v>46985.809439466815</v>
      </c>
      <c r="X112" s="1128">
        <f t="shared" si="14"/>
        <v>25</v>
      </c>
      <c r="Y112" s="26"/>
      <c r="Z112" s="1"/>
      <c r="AA112" s="1"/>
      <c r="AB112" s="1"/>
      <c r="AC112" s="1"/>
      <c r="AD112" s="1"/>
      <c r="AE112" s="1"/>
      <c r="AF112" s="1"/>
      <c r="AG112" s="1"/>
      <c r="AH112" s="16">
        <f t="shared" si="4"/>
        <v>0</v>
      </c>
      <c r="AI112" s="6"/>
      <c r="AJ112" s="6"/>
      <c r="AK112" s="16">
        <f t="shared" si="5"/>
        <v>-800.28604746503231</v>
      </c>
      <c r="AL112" s="16"/>
      <c r="AM112" s="17">
        <f t="shared" si="6"/>
        <v>-800.28604746503231</v>
      </c>
      <c r="AN112" s="17"/>
      <c r="AO112" s="18">
        <f t="shared" si="7"/>
        <v>-800.28604746503231</v>
      </c>
      <c r="AP112" s="18"/>
      <c r="AQ112" s="19">
        <f t="shared" si="8"/>
        <v>-800.28604746503231</v>
      </c>
      <c r="AR112" s="19"/>
      <c r="AS112" s="11">
        <f t="shared" si="9"/>
        <v>-4401.5732610576906</v>
      </c>
      <c r="AT112" s="11"/>
      <c r="AU112" s="1"/>
      <c r="AV112" s="1"/>
      <c r="AW112" s="1"/>
      <c r="AX112" s="1"/>
      <c r="AY112" s="1"/>
      <c r="AZ112" s="1"/>
    </row>
    <row r="113" spans="1:52" s="12" customFormat="1" ht="14.4" customHeight="1" x14ac:dyDescent="0.3">
      <c r="A113" s="1"/>
      <c r="B113" s="1"/>
      <c r="C113" s="2"/>
      <c r="D113" s="3"/>
      <c r="E113" s="27"/>
      <c r="F113" s="1"/>
      <c r="G113" s="1"/>
      <c r="H113" s="14" t="s">
        <v>11</v>
      </c>
      <c r="I113" s="13"/>
      <c r="J113" s="13"/>
      <c r="K113" s="602">
        <v>10000</v>
      </c>
      <c r="L113" s="1122">
        <f>'Beginning Version'!L113</f>
        <v>7.5</v>
      </c>
      <c r="M113" s="591">
        <v>0.15117</v>
      </c>
      <c r="N113" s="609" t="s">
        <v>90</v>
      </c>
      <c r="O113" s="602">
        <f t="shared" si="10"/>
        <v>175.93165719363134</v>
      </c>
      <c r="P113" s="1126">
        <v>15</v>
      </c>
      <c r="Q113" s="602">
        <f t="shared" si="0"/>
        <v>175.93165719363134</v>
      </c>
      <c r="R113" s="1126">
        <f t="shared" si="11"/>
        <v>15</v>
      </c>
      <c r="S113" s="602">
        <f t="shared" si="1"/>
        <v>175.93165719363134</v>
      </c>
      <c r="T113" s="1126">
        <f t="shared" si="12"/>
        <v>15</v>
      </c>
      <c r="U113" s="602">
        <f t="shared" si="2"/>
        <v>175.93165719363134</v>
      </c>
      <c r="V113" s="1126">
        <f t="shared" si="13"/>
        <v>15</v>
      </c>
      <c r="W113" s="602">
        <f t="shared" si="3"/>
        <v>967.624114564975</v>
      </c>
      <c r="X113" s="1126">
        <f t="shared" si="14"/>
        <v>15</v>
      </c>
      <c r="Y113" s="26"/>
      <c r="Z113" s="1"/>
      <c r="AA113" s="1"/>
      <c r="AB113" s="1"/>
      <c r="AC113" s="1"/>
      <c r="AD113" s="1"/>
      <c r="AE113" s="1"/>
      <c r="AF113" s="1"/>
      <c r="AG113" s="1"/>
      <c r="AH113" s="16">
        <f t="shared" si="4"/>
        <v>-1824.2511624289964</v>
      </c>
      <c r="AI113" s="6"/>
      <c r="AJ113" s="6"/>
      <c r="AK113" s="16">
        <f t="shared" si="5"/>
        <v>-20.554015449771828</v>
      </c>
      <c r="AL113" s="16"/>
      <c r="AM113" s="17">
        <f t="shared" si="6"/>
        <v>-20.554015449771828</v>
      </c>
      <c r="AN113" s="17"/>
      <c r="AO113" s="18">
        <f t="shared" si="7"/>
        <v>-20.554015449771828</v>
      </c>
      <c r="AP113" s="18"/>
      <c r="AQ113" s="19">
        <f t="shared" si="8"/>
        <v>-20.554015449771828</v>
      </c>
      <c r="AR113" s="19"/>
      <c r="AS113" s="11">
        <f t="shared" si="9"/>
        <v>-113.04708497374536</v>
      </c>
      <c r="AT113" s="11"/>
      <c r="AU113" s="1"/>
      <c r="AV113" s="1"/>
      <c r="AW113" s="1"/>
      <c r="AX113" s="1"/>
      <c r="AY113" s="1"/>
      <c r="AZ113" s="1"/>
    </row>
    <row r="114" spans="1:52" s="12" customFormat="1" ht="14.4" customHeight="1" x14ac:dyDescent="0.3">
      <c r="A114" s="1"/>
      <c r="B114" s="1"/>
      <c r="C114" s="2"/>
      <c r="D114" s="20"/>
      <c r="E114" s="1"/>
      <c r="F114" s="1"/>
      <c r="G114" s="1"/>
      <c r="H114" s="21" t="s">
        <v>12</v>
      </c>
      <c r="I114" s="22"/>
      <c r="J114" s="22"/>
      <c r="K114" s="603">
        <f>'Beginning Version'!K114</f>
        <v>0</v>
      </c>
      <c r="L114" s="1123">
        <f>'Beginning Version'!L114</f>
        <v>7.5</v>
      </c>
      <c r="M114" s="589">
        <v>1.47156</v>
      </c>
      <c r="N114" s="607" t="s">
        <v>90</v>
      </c>
      <c r="O114" s="603">
        <f>$M114*O99</f>
        <v>34783.114984020722</v>
      </c>
      <c r="P114" s="1127">
        <v>15</v>
      </c>
      <c r="Q114" s="603">
        <f>$M114*Q99</f>
        <v>34783.114984020722</v>
      </c>
      <c r="R114" s="1127">
        <f t="shared" si="11"/>
        <v>15</v>
      </c>
      <c r="S114" s="603">
        <f>$M114*S99</f>
        <v>34783.114984020722</v>
      </c>
      <c r="T114" s="1127">
        <f t="shared" si="12"/>
        <v>15</v>
      </c>
      <c r="U114" s="603">
        <f>$M114*U99</f>
        <v>34783.114984020722</v>
      </c>
      <c r="V114" s="1127">
        <f t="shared" si="13"/>
        <v>15</v>
      </c>
      <c r="W114" s="603">
        <f>$M114*W99</f>
        <v>42489.822350359114</v>
      </c>
      <c r="X114" s="1127">
        <f t="shared" si="14"/>
        <v>15</v>
      </c>
      <c r="Y114" s="26"/>
      <c r="Z114" s="1"/>
      <c r="AA114" s="1"/>
      <c r="AB114" s="1"/>
      <c r="AC114" s="1"/>
      <c r="AD114" s="1"/>
      <c r="AE114" s="1"/>
      <c r="AF114" s="1"/>
      <c r="AG114" s="1"/>
      <c r="AH114" s="16">
        <f t="shared" si="4"/>
        <v>0</v>
      </c>
      <c r="AI114" s="6"/>
      <c r="AJ114" s="6"/>
      <c r="AK114" s="16">
        <f t="shared" si="5"/>
        <v>-4063.6954950404011</v>
      </c>
      <c r="AL114" s="16"/>
      <c r="AM114" s="17">
        <f t="shared" si="6"/>
        <v>-4063.6954950404011</v>
      </c>
      <c r="AN114" s="17"/>
      <c r="AO114" s="18">
        <f t="shared" si="7"/>
        <v>-4063.6954950404011</v>
      </c>
      <c r="AP114" s="18"/>
      <c r="AQ114" s="19">
        <f t="shared" si="8"/>
        <v>-4063.6954950404011</v>
      </c>
      <c r="AR114" s="19"/>
      <c r="AS114" s="11">
        <f t="shared" si="9"/>
        <v>-4964.0666096047889</v>
      </c>
      <c r="AT114" s="11"/>
      <c r="AU114" s="1"/>
      <c r="AV114" s="1"/>
      <c r="AW114" s="1"/>
      <c r="AX114" s="1"/>
      <c r="AY114" s="1"/>
      <c r="AZ114" s="1"/>
    </row>
    <row r="115" spans="1:52" s="12" customFormat="1" ht="14.4" customHeight="1" thickBot="1" x14ac:dyDescent="0.35">
      <c r="A115" s="1"/>
      <c r="B115" s="1"/>
      <c r="C115" s="2"/>
      <c r="D115" s="3"/>
      <c r="E115" s="1"/>
      <c r="F115" s="1"/>
      <c r="G115" s="1"/>
      <c r="H115" s="24" t="s">
        <v>134</v>
      </c>
      <c r="I115" s="25"/>
      <c r="J115" s="25"/>
      <c r="K115" s="604">
        <v>100000</v>
      </c>
      <c r="L115" s="1124">
        <f>'Beginning Version'!L115</f>
        <v>12.5</v>
      </c>
      <c r="M115" s="590">
        <v>42.717739999999999</v>
      </c>
      <c r="N115" s="608" t="s">
        <v>89</v>
      </c>
      <c r="O115" s="604">
        <f>IF($AE90=4,O98*$M115,IF(O98-$K98&gt;1,$M115*(O98-$K98),0))</f>
        <v>0</v>
      </c>
      <c r="P115" s="1128">
        <v>25</v>
      </c>
      <c r="Q115" s="604">
        <f>IF($AE90=4,Q98*$M115,IF(Q98-$K98&gt;1,$M115*(Q98-$K98),0))</f>
        <v>0</v>
      </c>
      <c r="R115" s="1128">
        <f t="shared" si="11"/>
        <v>25</v>
      </c>
      <c r="S115" s="604">
        <f>IF($AE90=4,S98*$M115,IF(S98-$K98&gt;1,$M115*(S98-$K98),0))</f>
        <v>0</v>
      </c>
      <c r="T115" s="1128">
        <f t="shared" si="12"/>
        <v>25</v>
      </c>
      <c r="U115" s="604">
        <f>IF($AE90=4,U98*$M115,IF(U98-$K98&gt;1,$M115*(U98-$K98),0))</f>
        <v>0</v>
      </c>
      <c r="V115" s="1128">
        <f t="shared" si="13"/>
        <v>25</v>
      </c>
      <c r="W115" s="604">
        <f>IF($AE90=4,W98*$M115,IF(W98-$K98&gt;1,$M115*(W98-$K98),0))</f>
        <v>0</v>
      </c>
      <c r="X115" s="1128">
        <f t="shared" si="14"/>
        <v>25</v>
      </c>
      <c r="Y115" s="26"/>
      <c r="Z115" s="1"/>
      <c r="AA115" s="1"/>
      <c r="AB115" s="1"/>
      <c r="AC115" s="1"/>
      <c r="AD115" s="1"/>
      <c r="AE115" s="1"/>
      <c r="AF115" s="1"/>
      <c r="AG115" s="1"/>
      <c r="AH115" s="16">
        <f t="shared" si="4"/>
        <v>-12947.558506186258</v>
      </c>
      <c r="AI115" s="6"/>
      <c r="AJ115" s="6"/>
      <c r="AK115" s="16">
        <f t="shared" si="5"/>
        <v>0</v>
      </c>
      <c r="AL115" s="16"/>
      <c r="AM115" s="17">
        <f t="shared" si="6"/>
        <v>0</v>
      </c>
      <c r="AN115" s="17"/>
      <c r="AO115" s="18">
        <f t="shared" si="7"/>
        <v>0</v>
      </c>
      <c r="AP115" s="18"/>
      <c r="AQ115" s="19">
        <f t="shared" si="8"/>
        <v>0</v>
      </c>
      <c r="AR115" s="19"/>
      <c r="AS115" s="11">
        <f t="shared" si="9"/>
        <v>0</v>
      </c>
      <c r="AT115" s="11"/>
      <c r="AU115" s="1"/>
      <c r="AV115" s="1"/>
      <c r="AW115" s="1"/>
      <c r="AX115" s="1"/>
      <c r="AY115" s="1"/>
      <c r="AZ115" s="1"/>
    </row>
    <row r="116" spans="1:52" s="12" customFormat="1" ht="14.4" customHeight="1" x14ac:dyDescent="0.3">
      <c r="A116" s="1"/>
      <c r="B116" s="1"/>
      <c r="C116" s="2"/>
      <c r="D116" s="3"/>
      <c r="E116" s="1"/>
      <c r="F116" s="1"/>
      <c r="G116" s="1"/>
      <c r="H116" s="1343" t="s">
        <v>13</v>
      </c>
      <c r="I116" s="1344"/>
      <c r="J116" s="1344"/>
      <c r="K116" s="602">
        <f>'Beginning Version'!K116</f>
        <v>0</v>
      </c>
      <c r="L116" s="1122">
        <f>'Beginning Version'!L116</f>
        <v>12.5</v>
      </c>
      <c r="M116" s="592"/>
      <c r="N116" s="609"/>
      <c r="O116" s="602">
        <f>IF(O101&gt;100,$K116,0)</f>
        <v>0</v>
      </c>
      <c r="P116" s="1126">
        <v>25</v>
      </c>
      <c r="Q116" s="602">
        <f>IF(Q101&gt;100,$K116,0)</f>
        <v>0</v>
      </c>
      <c r="R116" s="1126">
        <f t="shared" si="11"/>
        <v>25</v>
      </c>
      <c r="S116" s="602">
        <f>IF(S101&gt;100,$K116,0)</f>
        <v>0</v>
      </c>
      <c r="T116" s="1126">
        <f t="shared" si="12"/>
        <v>25</v>
      </c>
      <c r="U116" s="602">
        <f>IF(U101&gt;100,$K116,0)</f>
        <v>0</v>
      </c>
      <c r="V116" s="1126">
        <f t="shared" si="13"/>
        <v>25</v>
      </c>
      <c r="W116" s="602">
        <f>IF(W101&gt;100,$K116,0)</f>
        <v>0</v>
      </c>
      <c r="X116" s="1126">
        <f t="shared" si="14"/>
        <v>25</v>
      </c>
      <c r="Y116" s="1"/>
      <c r="Z116" s="1"/>
      <c r="AA116" s="1"/>
      <c r="AB116" s="1"/>
      <c r="AC116" s="1"/>
      <c r="AD116" s="1"/>
      <c r="AE116" s="1"/>
      <c r="AF116" s="1"/>
      <c r="AG116" s="1"/>
      <c r="AH116" s="16">
        <f t="shared" ref="AH116:AH125" si="15">PMT($I$42,L116,K116,0,0)</f>
        <v>0</v>
      </c>
      <c r="AI116" s="6"/>
      <c r="AJ116" s="6"/>
      <c r="AK116" s="16">
        <f t="shared" ref="AK116:AK125" si="16">PMT($I$42,P116,O116,0,0)</f>
        <v>0</v>
      </c>
      <c r="AL116" s="16"/>
      <c r="AM116" s="17">
        <f t="shared" ref="AM116:AM125" si="17">PMT($I$42,R116,Q116,0,0)</f>
        <v>0</v>
      </c>
      <c r="AN116" s="17"/>
      <c r="AO116" s="18">
        <f t="shared" ref="AO116:AO125" si="18">PMT($I$42,T116,S116,0,0)</f>
        <v>0</v>
      </c>
      <c r="AP116" s="18"/>
      <c r="AQ116" s="19">
        <f t="shared" ref="AQ116:AQ125" si="19">PMT($I$42,V116,U116,0,0)</f>
        <v>0</v>
      </c>
      <c r="AR116" s="19"/>
      <c r="AS116" s="11">
        <f t="shared" ref="AS116:AS125" si="20">PMT($I$42,X116,W116,0,0)</f>
        <v>0</v>
      </c>
      <c r="AT116" s="11"/>
      <c r="AU116" s="1"/>
      <c r="AV116" s="1"/>
      <c r="AW116" s="1"/>
      <c r="AX116" s="1"/>
      <c r="AY116" s="1"/>
      <c r="AZ116" s="1"/>
    </row>
    <row r="117" spans="1:52" s="12" customFormat="1" ht="14.4" customHeight="1" x14ac:dyDescent="0.3">
      <c r="A117" s="1326" t="s">
        <v>240</v>
      </c>
      <c r="B117" s="1327"/>
      <c r="C117" s="1"/>
      <c r="D117" s="1"/>
      <c r="E117" s="1"/>
      <c r="F117" s="1"/>
      <c r="G117" s="1"/>
      <c r="H117" s="21" t="s">
        <v>190</v>
      </c>
      <c r="I117" s="22"/>
      <c r="J117" s="22"/>
      <c r="K117" s="603">
        <f>'Beginning Version'!K117</f>
        <v>0</v>
      </c>
      <c r="L117" s="1123">
        <f>'Beginning Version'!L117</f>
        <v>12.5</v>
      </c>
      <c r="M117" s="589">
        <v>0</v>
      </c>
      <c r="N117" s="607" t="s">
        <v>90</v>
      </c>
      <c r="O117" s="603">
        <f>$M117*O101</f>
        <v>0</v>
      </c>
      <c r="P117" s="1127">
        <v>25</v>
      </c>
      <c r="Q117" s="603">
        <f>$M117*Q101</f>
        <v>0</v>
      </c>
      <c r="R117" s="1127">
        <f t="shared" si="11"/>
        <v>25</v>
      </c>
      <c r="S117" s="603">
        <f>$M117*S101</f>
        <v>0</v>
      </c>
      <c r="T117" s="1127">
        <f t="shared" si="12"/>
        <v>25</v>
      </c>
      <c r="U117" s="603">
        <f>$M117*U101</f>
        <v>0</v>
      </c>
      <c r="V117" s="1127">
        <f t="shared" si="13"/>
        <v>25</v>
      </c>
      <c r="W117" s="603">
        <f>$M117*W101</f>
        <v>0</v>
      </c>
      <c r="X117" s="1127">
        <f t="shared" si="14"/>
        <v>25</v>
      </c>
      <c r="Y117" s="1"/>
      <c r="Z117" s="1"/>
      <c r="AA117" s="1"/>
      <c r="AB117" s="1"/>
      <c r="AC117" s="1"/>
      <c r="AD117" s="1"/>
      <c r="AE117" s="1"/>
      <c r="AF117" s="1"/>
      <c r="AG117" s="1"/>
      <c r="AH117" s="16">
        <f t="shared" si="15"/>
        <v>0</v>
      </c>
      <c r="AI117" s="6"/>
      <c r="AJ117" s="6"/>
      <c r="AK117" s="16">
        <f t="shared" si="16"/>
        <v>0</v>
      </c>
      <c r="AL117" s="16"/>
      <c r="AM117" s="17">
        <f t="shared" si="17"/>
        <v>0</v>
      </c>
      <c r="AN117" s="17"/>
      <c r="AO117" s="18">
        <f t="shared" si="18"/>
        <v>0</v>
      </c>
      <c r="AP117" s="18"/>
      <c r="AQ117" s="19">
        <f t="shared" si="19"/>
        <v>0</v>
      </c>
      <c r="AR117" s="19"/>
      <c r="AS117" s="11">
        <f t="shared" si="20"/>
        <v>0</v>
      </c>
      <c r="AT117" s="11"/>
      <c r="AU117" s="1"/>
      <c r="AV117" s="1"/>
      <c r="AW117" s="1"/>
      <c r="AX117" s="1"/>
      <c r="AY117" s="1"/>
      <c r="AZ117" s="1"/>
    </row>
    <row r="118" spans="1:52" s="12" customFormat="1" ht="14.4" customHeight="1" thickBot="1" x14ac:dyDescent="0.35">
      <c r="A118" s="1284" t="s">
        <v>250</v>
      </c>
      <c r="B118" s="1285"/>
      <c r="C118" s="1285"/>
      <c r="D118" s="1286"/>
      <c r="E118" s="1"/>
      <c r="F118" s="1"/>
      <c r="G118" s="1"/>
      <c r="H118" s="24" t="s">
        <v>24</v>
      </c>
      <c r="I118" s="25"/>
      <c r="J118" s="25"/>
      <c r="K118" s="604">
        <f>'Beginning Version'!K118</f>
        <v>0</v>
      </c>
      <c r="L118" s="1124">
        <f>'Beginning Version'!L118</f>
        <v>12.5</v>
      </c>
      <c r="M118" s="590">
        <v>4.71889</v>
      </c>
      <c r="N118" s="608" t="s">
        <v>90</v>
      </c>
      <c r="O118" s="604">
        <f>(O100+O101)*$M118-K118</f>
        <v>111539.92597443907</v>
      </c>
      <c r="P118" s="1128">
        <v>25</v>
      </c>
      <c r="Q118" s="604">
        <f>(Q100+Q101)*$M118</f>
        <v>111539.92597443907</v>
      </c>
      <c r="R118" s="1128">
        <f t="shared" si="11"/>
        <v>25</v>
      </c>
      <c r="S118" s="604">
        <f>(S100+S101)*$M118</f>
        <v>111539.92597443907</v>
      </c>
      <c r="T118" s="1128">
        <f t="shared" si="12"/>
        <v>25</v>
      </c>
      <c r="U118" s="604">
        <f>(U100+U101)*$M118</f>
        <v>111539.92597443907</v>
      </c>
      <c r="V118" s="1128">
        <f t="shared" si="13"/>
        <v>25</v>
      </c>
      <c r="W118" s="604">
        <f>(W100+W101)*$M118</f>
        <v>136253.22636582004</v>
      </c>
      <c r="X118" s="1128">
        <f t="shared" si="14"/>
        <v>25</v>
      </c>
      <c r="Y118" s="1"/>
      <c r="Z118" s="1"/>
      <c r="AA118" s="1"/>
      <c r="AB118" s="1"/>
      <c r="AC118" s="1"/>
      <c r="AD118" s="1"/>
      <c r="AE118" s="1"/>
      <c r="AF118" s="1"/>
      <c r="AG118" s="1"/>
      <c r="AH118" s="16">
        <f t="shared" si="15"/>
        <v>0</v>
      </c>
      <c r="AI118" s="6"/>
      <c r="AJ118" s="6"/>
      <c r="AK118" s="16">
        <f t="shared" si="16"/>
        <v>-10448.924080832359</v>
      </c>
      <c r="AL118" s="16"/>
      <c r="AM118" s="17">
        <f t="shared" si="17"/>
        <v>-10448.924080832359</v>
      </c>
      <c r="AN118" s="17"/>
      <c r="AO118" s="18">
        <f t="shared" si="18"/>
        <v>-10448.924080832359</v>
      </c>
      <c r="AP118" s="18"/>
      <c r="AQ118" s="19">
        <f t="shared" si="19"/>
        <v>-10448.924080832359</v>
      </c>
      <c r="AR118" s="19"/>
      <c r="AS118" s="11">
        <f t="shared" si="20"/>
        <v>-12764.035887841455</v>
      </c>
      <c r="AT118" s="11"/>
      <c r="AU118" s="1"/>
      <c r="AV118" s="1"/>
      <c r="AW118" s="1"/>
      <c r="AX118" s="1"/>
      <c r="AY118" s="1"/>
      <c r="AZ118" s="1"/>
    </row>
    <row r="119" spans="1:52" s="12" customFormat="1" ht="14.4" customHeight="1" x14ac:dyDescent="0.3">
      <c r="A119" s="1"/>
      <c r="B119" s="1"/>
      <c r="C119" s="1"/>
      <c r="D119" s="1"/>
      <c r="E119" s="1"/>
      <c r="F119" s="1"/>
      <c r="G119" s="1"/>
      <c r="H119" s="28" t="s">
        <v>272</v>
      </c>
      <c r="I119" s="29"/>
      <c r="J119" s="29"/>
      <c r="K119" s="602">
        <f>'Beginning Version'!K119</f>
        <v>0</v>
      </c>
      <c r="L119" s="1122">
        <f>'Beginning Version'!L119</f>
        <v>7.5</v>
      </c>
      <c r="M119" s="593">
        <v>24.013369999999998</v>
      </c>
      <c r="N119" s="609" t="s">
        <v>89</v>
      </c>
      <c r="O119" s="602">
        <f>$M119*O95</f>
        <v>17466.726115068486</v>
      </c>
      <c r="P119" s="1126">
        <v>15</v>
      </c>
      <c r="Q119" s="602">
        <f>33.36*Q95</f>
        <v>24265.231543872633</v>
      </c>
      <c r="R119" s="1126">
        <f t="shared" si="11"/>
        <v>15</v>
      </c>
      <c r="S119" s="602">
        <f>49*S95</f>
        <v>35641.377267678625</v>
      </c>
      <c r="T119" s="1126">
        <f t="shared" si="12"/>
        <v>15</v>
      </c>
      <c r="U119" s="602">
        <f>$M119*U95</f>
        <v>17466.726115068486</v>
      </c>
      <c r="V119" s="1126">
        <f t="shared" si="13"/>
        <v>15</v>
      </c>
      <c r="W119" s="602">
        <f>38*W95</f>
        <v>27640.251758607916</v>
      </c>
      <c r="X119" s="1126">
        <f t="shared" si="14"/>
        <v>15</v>
      </c>
      <c r="Y119" s="1"/>
      <c r="Z119" s="1"/>
      <c r="AA119" s="1"/>
      <c r="AB119" s="1"/>
      <c r="AC119" s="1"/>
      <c r="AD119" s="1"/>
      <c r="AE119" s="1"/>
      <c r="AF119" s="1"/>
      <c r="AG119" s="1"/>
      <c r="AH119" s="16">
        <f>PMT($I$42,L119,K119,0,0)</f>
        <v>0</v>
      </c>
      <c r="AI119" s="6"/>
      <c r="AJ119" s="6"/>
      <c r="AK119" s="16">
        <f>PMT($I$42,P119,O119,0,0)</f>
        <v>-2040.6296635455485</v>
      </c>
      <c r="AL119" s="16"/>
      <c r="AM119" s="17">
        <f>PMT($I$42,R119,Q119,0,0)</f>
        <v>-2834.895959037799</v>
      </c>
      <c r="AN119" s="17"/>
      <c r="AO119" s="18">
        <f>PMT($I$42,T119,S119,0,0)</f>
        <v>-4163.9658870759031</v>
      </c>
      <c r="AP119" s="18"/>
      <c r="AQ119" s="19">
        <f>PMT($I$42,V119,U119,0,0)</f>
        <v>-2040.6296635455485</v>
      </c>
      <c r="AR119" s="19"/>
      <c r="AS119" s="11">
        <f>PMT($I$42,X119,W119,0,0)</f>
        <v>-3229.1980348751904</v>
      </c>
      <c r="AT119" s="11"/>
      <c r="AU119" s="1"/>
      <c r="AV119" s="1"/>
      <c r="AW119" s="1"/>
      <c r="AX119" s="1"/>
      <c r="AY119" s="1"/>
      <c r="AZ119" s="1"/>
    </row>
    <row r="120" spans="1:52" s="12" customFormat="1" ht="14.4" customHeight="1" x14ac:dyDescent="0.3">
      <c r="A120" s="1291" t="s">
        <v>259</v>
      </c>
      <c r="B120" s="1292"/>
      <c r="C120" s="1292"/>
      <c r="D120" s="1293"/>
      <c r="E120" s="27"/>
      <c r="F120" s="1"/>
      <c r="G120" s="1"/>
      <c r="H120" s="31" t="s">
        <v>273</v>
      </c>
      <c r="I120" s="32"/>
      <c r="J120" s="32"/>
      <c r="K120" s="603">
        <f>'Beginning Version'!K120</f>
        <v>0</v>
      </c>
      <c r="L120" s="1123">
        <f>'Beginning Version'!L120</f>
        <v>7.5</v>
      </c>
      <c r="M120" s="594">
        <v>29.52281</v>
      </c>
      <c r="N120" s="607" t="s">
        <v>89</v>
      </c>
      <c r="O120" s="603">
        <f>$M120*O96</f>
        <v>8747.3211354313225</v>
      </c>
      <c r="P120" s="1127">
        <v>15</v>
      </c>
      <c r="Q120" s="603">
        <f>$M120*Q96</f>
        <v>8747.3211354313225</v>
      </c>
      <c r="R120" s="1127">
        <f t="shared" si="11"/>
        <v>15</v>
      </c>
      <c r="S120" s="603">
        <f>$M120*S96</f>
        <v>8747.3211354313225</v>
      </c>
      <c r="T120" s="1127">
        <f t="shared" si="12"/>
        <v>15</v>
      </c>
      <c r="U120" s="603">
        <f>$M120*U96</f>
        <v>8747.3211354313225</v>
      </c>
      <c r="V120" s="1127">
        <f t="shared" si="13"/>
        <v>15</v>
      </c>
      <c r="W120" s="603">
        <f>$M120*W96</f>
        <v>8747.3211354313225</v>
      </c>
      <c r="X120" s="1127">
        <f t="shared" si="14"/>
        <v>15</v>
      </c>
      <c r="Y120" s="1"/>
      <c r="Z120" s="1"/>
      <c r="AA120" s="1"/>
      <c r="AB120" s="1"/>
      <c r="AC120" s="1"/>
      <c r="AD120" s="1"/>
      <c r="AE120" s="1"/>
      <c r="AF120" s="1"/>
      <c r="AG120" s="1"/>
      <c r="AH120" s="16">
        <f>PMT($I$42,L120,K120,0,0)</f>
        <v>0</v>
      </c>
      <c r="AI120" s="6"/>
      <c r="AJ120" s="6"/>
      <c r="AK120" s="16">
        <f>PMT($I$42,P120,O120,0,0)</f>
        <v>-1021.9455476616716</v>
      </c>
      <c r="AL120" s="16"/>
      <c r="AM120" s="17">
        <f>PMT($I$42,R120,Q120,0,0)</f>
        <v>-1021.9455476616716</v>
      </c>
      <c r="AN120" s="17"/>
      <c r="AO120" s="18">
        <f>PMT($I$42,T120,S120,0,0)</f>
        <v>-1021.9455476616716</v>
      </c>
      <c r="AP120" s="18"/>
      <c r="AQ120" s="19">
        <f>PMT($I$42,V120,U120,0,0)</f>
        <v>-1021.9455476616716</v>
      </c>
      <c r="AR120" s="19"/>
      <c r="AS120" s="11">
        <f>PMT($I$42,X120,W120,0,0)</f>
        <v>-1021.9455476616716</v>
      </c>
      <c r="AT120" s="11"/>
      <c r="AU120" s="1"/>
      <c r="AV120" s="1"/>
      <c r="AW120" s="1"/>
      <c r="AX120" s="1"/>
      <c r="AY120" s="1"/>
      <c r="AZ120" s="1"/>
    </row>
    <row r="121" spans="1:52" s="12" customFormat="1" ht="14.4" customHeight="1" thickBot="1" x14ac:dyDescent="0.35">
      <c r="A121" s="1294"/>
      <c r="B121" s="1295"/>
      <c r="C121" s="1295"/>
      <c r="D121" s="1296"/>
      <c r="E121" s="1"/>
      <c r="F121" s="1"/>
      <c r="G121" s="1"/>
      <c r="H121" s="31" t="s">
        <v>271</v>
      </c>
      <c r="I121" s="32"/>
      <c r="J121" s="32"/>
      <c r="K121" s="605">
        <f>'Beginning Version'!K121</f>
        <v>0</v>
      </c>
      <c r="L121" s="1125">
        <f>'Beginning Version'!L121</f>
        <v>7.5</v>
      </c>
      <c r="M121" s="595">
        <v>26.0349</v>
      </c>
      <c r="N121" s="610" t="s">
        <v>89</v>
      </c>
      <c r="O121" s="605">
        <f>$M121*O97</f>
        <v>947.31950092558338</v>
      </c>
      <c r="P121" s="1129">
        <v>15</v>
      </c>
      <c r="Q121" s="605">
        <f>$M121*Q97</f>
        <v>947.31950092558338</v>
      </c>
      <c r="R121" s="1129">
        <f t="shared" si="11"/>
        <v>15</v>
      </c>
      <c r="S121" s="605">
        <f>$M121*S97</f>
        <v>947.31950092558338</v>
      </c>
      <c r="T121" s="1129">
        <f t="shared" si="12"/>
        <v>15</v>
      </c>
      <c r="U121" s="605">
        <f>$M121*U97</f>
        <v>947.31950092558338</v>
      </c>
      <c r="V121" s="1129">
        <f t="shared" si="13"/>
        <v>15</v>
      </c>
      <c r="W121" s="605">
        <f>$M121*W97</f>
        <v>947.31950092558338</v>
      </c>
      <c r="X121" s="1129">
        <f t="shared" si="14"/>
        <v>15</v>
      </c>
      <c r="Y121" s="1"/>
      <c r="Z121" s="1"/>
      <c r="AA121" s="1"/>
      <c r="AB121" s="1"/>
      <c r="AC121" s="1"/>
      <c r="AD121" s="1"/>
      <c r="AE121" s="1"/>
      <c r="AF121" s="1"/>
      <c r="AG121" s="1"/>
      <c r="AH121" s="16">
        <f>PMT($I$42,L121,K121,0,0)</f>
        <v>0</v>
      </c>
      <c r="AI121" s="6"/>
      <c r="AJ121" s="6"/>
      <c r="AK121" s="16">
        <f>PMT($I$42,P121,O121,0,0)</f>
        <v>-110.67490620215352</v>
      </c>
      <c r="AL121" s="16"/>
      <c r="AM121" s="17">
        <f>PMT($I$42,R121,Q121,0,0)</f>
        <v>-110.67490620215352</v>
      </c>
      <c r="AN121" s="17"/>
      <c r="AO121" s="18">
        <f>PMT($I$42,T121,S121,0,0)</f>
        <v>-110.67490620215352</v>
      </c>
      <c r="AP121" s="18"/>
      <c r="AQ121" s="19">
        <f>PMT($I$42,V121,U121,0,0)</f>
        <v>-110.67490620215352</v>
      </c>
      <c r="AR121" s="19"/>
      <c r="AS121" s="11">
        <f>PMT($I$42,X121,W121,0,0)</f>
        <v>-110.67490620215352</v>
      </c>
      <c r="AT121" s="11"/>
      <c r="AU121" s="1"/>
      <c r="AV121" s="1"/>
      <c r="AW121" s="1"/>
      <c r="AX121" s="1"/>
      <c r="AY121" s="1"/>
      <c r="AZ121" s="1"/>
    </row>
    <row r="122" spans="1:52" s="12" customFormat="1" ht="14.4" customHeight="1" x14ac:dyDescent="0.3">
      <c r="A122" s="1"/>
      <c r="B122" s="1"/>
      <c r="C122" s="2"/>
      <c r="D122" s="3"/>
      <c r="E122" s="1"/>
      <c r="F122" s="1"/>
      <c r="G122" s="1"/>
      <c r="H122" s="1333" t="s">
        <v>129</v>
      </c>
      <c r="I122" s="1334"/>
      <c r="J122" s="1335"/>
      <c r="K122" s="602">
        <f>'Beginning Version'!K122</f>
        <v>0</v>
      </c>
      <c r="L122" s="1122">
        <f>'Beginning Version'!L122</f>
        <v>7.5</v>
      </c>
      <c r="M122" s="596"/>
      <c r="N122" s="609"/>
      <c r="O122" s="602">
        <v>0</v>
      </c>
      <c r="P122" s="1126">
        <v>15</v>
      </c>
      <c r="Q122" s="602">
        <v>0</v>
      </c>
      <c r="R122" s="1126">
        <f t="shared" si="11"/>
        <v>15</v>
      </c>
      <c r="S122" s="602">
        <v>0</v>
      </c>
      <c r="T122" s="1126">
        <f t="shared" si="12"/>
        <v>15</v>
      </c>
      <c r="U122" s="602">
        <f>220*U95</f>
        <v>160022.51018141425</v>
      </c>
      <c r="V122" s="1126">
        <f t="shared" si="13"/>
        <v>15</v>
      </c>
      <c r="W122" s="602">
        <v>0</v>
      </c>
      <c r="X122" s="1126">
        <f t="shared" si="14"/>
        <v>15</v>
      </c>
      <c r="Y122" s="1"/>
      <c r="Z122" s="1"/>
      <c r="AA122" s="1"/>
      <c r="AB122" s="1"/>
      <c r="AC122" s="1"/>
      <c r="AD122" s="1"/>
      <c r="AE122" s="1"/>
      <c r="AF122" s="1"/>
      <c r="AG122" s="1"/>
      <c r="AH122" s="16">
        <f t="shared" si="15"/>
        <v>0</v>
      </c>
      <c r="AI122" s="6"/>
      <c r="AJ122" s="6"/>
      <c r="AK122" s="16">
        <f t="shared" si="16"/>
        <v>0</v>
      </c>
      <c r="AL122" s="16"/>
      <c r="AM122" s="17">
        <f t="shared" si="17"/>
        <v>0</v>
      </c>
      <c r="AN122" s="17"/>
      <c r="AO122" s="18">
        <f t="shared" si="18"/>
        <v>0</v>
      </c>
      <c r="AP122" s="18"/>
      <c r="AQ122" s="19">
        <f t="shared" si="19"/>
        <v>-18695.357044014261</v>
      </c>
      <c r="AR122" s="19"/>
      <c r="AS122" s="11">
        <f t="shared" si="20"/>
        <v>0</v>
      </c>
      <c r="AT122" s="11"/>
      <c r="AU122" s="1"/>
      <c r="AV122" s="1"/>
      <c r="AW122" s="1"/>
      <c r="AX122" s="1"/>
      <c r="AY122" s="1"/>
      <c r="AZ122" s="1"/>
    </row>
    <row r="123" spans="1:52" s="12" customFormat="1" ht="14.4" customHeight="1" x14ac:dyDescent="0.3">
      <c r="A123" s="1"/>
      <c r="B123" s="1"/>
      <c r="C123" s="2"/>
      <c r="D123" s="3"/>
      <c r="E123" s="1"/>
      <c r="F123" s="1"/>
      <c r="G123" s="1"/>
      <c r="H123" s="1336" t="s">
        <v>191</v>
      </c>
      <c r="I123" s="1337"/>
      <c r="J123" s="1338"/>
      <c r="K123" s="603">
        <f>'Beginning Version'!K123</f>
        <v>0</v>
      </c>
      <c r="L123" s="1123">
        <f>'Beginning Version'!L123</f>
        <v>7.5</v>
      </c>
      <c r="M123" s="594">
        <v>16.875299999999999</v>
      </c>
      <c r="N123" s="610" t="s">
        <v>89</v>
      </c>
      <c r="O123" s="603">
        <f>$M123*O96</f>
        <v>4999.98707293595</v>
      </c>
      <c r="P123" s="1127">
        <v>15</v>
      </c>
      <c r="Q123" s="603">
        <f>$M123*Q96</f>
        <v>4999.98707293595</v>
      </c>
      <c r="R123" s="1127">
        <f t="shared" si="11"/>
        <v>15</v>
      </c>
      <c r="S123" s="603">
        <f>$M123*S96</f>
        <v>4999.98707293595</v>
      </c>
      <c r="T123" s="1127">
        <f t="shared" si="12"/>
        <v>15</v>
      </c>
      <c r="U123" s="603">
        <f>$M123*U96</f>
        <v>4999.98707293595</v>
      </c>
      <c r="V123" s="1127">
        <f t="shared" si="13"/>
        <v>15</v>
      </c>
      <c r="W123" s="603">
        <f>$M123*W96</f>
        <v>4999.98707293595</v>
      </c>
      <c r="X123" s="1127">
        <f t="shared" si="14"/>
        <v>15</v>
      </c>
      <c r="Y123" s="1"/>
      <c r="Z123" s="1"/>
      <c r="AA123" s="1"/>
      <c r="AB123" s="1"/>
      <c r="AC123" s="1"/>
      <c r="AD123" s="1"/>
      <c r="AE123" s="1"/>
      <c r="AF123" s="1"/>
      <c r="AG123" s="1"/>
      <c r="AH123" s="16">
        <f t="shared" si="15"/>
        <v>0</v>
      </c>
      <c r="AI123" s="6"/>
      <c r="AJ123" s="6"/>
      <c r="AK123" s="16">
        <f t="shared" si="16"/>
        <v>-584.14621441708994</v>
      </c>
      <c r="AL123" s="16"/>
      <c r="AM123" s="17">
        <f t="shared" si="17"/>
        <v>-584.14621441708994</v>
      </c>
      <c r="AN123" s="17"/>
      <c r="AO123" s="18">
        <f t="shared" si="18"/>
        <v>-584.14621441708994</v>
      </c>
      <c r="AP123" s="18"/>
      <c r="AQ123" s="19">
        <f t="shared" si="19"/>
        <v>-584.14621441708994</v>
      </c>
      <c r="AR123" s="19"/>
      <c r="AS123" s="11">
        <f t="shared" si="20"/>
        <v>-584.14621441708994</v>
      </c>
      <c r="AT123" s="11"/>
      <c r="AU123" s="1"/>
      <c r="AV123" s="1"/>
      <c r="AW123" s="1"/>
      <c r="AX123" s="1"/>
      <c r="AY123" s="1"/>
      <c r="AZ123" s="1"/>
    </row>
    <row r="124" spans="1:52" s="12" customFormat="1" ht="14.4" customHeight="1" thickBot="1" x14ac:dyDescent="0.35">
      <c r="A124" s="1"/>
      <c r="B124" s="1"/>
      <c r="C124" s="2"/>
      <c r="D124" s="3"/>
      <c r="E124" s="1"/>
      <c r="F124" s="1"/>
      <c r="G124" s="1"/>
      <c r="H124" s="1339" t="s">
        <v>132</v>
      </c>
      <c r="I124" s="1340"/>
      <c r="J124" s="1341"/>
      <c r="K124" s="604">
        <f>'Beginning Version'!K124</f>
        <v>0</v>
      </c>
      <c r="L124" s="1124">
        <f>'Beginning Version'!L124</f>
        <v>5</v>
      </c>
      <c r="M124" s="597">
        <v>185.86318</v>
      </c>
      <c r="N124" s="608" t="s">
        <v>89</v>
      </c>
      <c r="O124" s="604">
        <f>$M124*O96</f>
        <v>55069.450459237327</v>
      </c>
      <c r="P124" s="1128">
        <v>10</v>
      </c>
      <c r="Q124" s="604">
        <f>$M124*Q96</f>
        <v>55069.450459237327</v>
      </c>
      <c r="R124" s="1128">
        <f t="shared" si="11"/>
        <v>10</v>
      </c>
      <c r="S124" s="604">
        <f>$M124*S96</f>
        <v>55069.450459237327</v>
      </c>
      <c r="T124" s="1128">
        <f t="shared" si="12"/>
        <v>10</v>
      </c>
      <c r="U124" s="604">
        <f>$M124*U96</f>
        <v>55069.450459237327</v>
      </c>
      <c r="V124" s="1128">
        <f t="shared" si="13"/>
        <v>10</v>
      </c>
      <c r="W124" s="604">
        <f>$M124*W96</f>
        <v>55069.450459237327</v>
      </c>
      <c r="X124" s="1128">
        <f t="shared" si="14"/>
        <v>10</v>
      </c>
      <c r="Y124" s="1"/>
      <c r="Z124" s="1"/>
      <c r="AA124" s="1"/>
      <c r="AB124" s="1"/>
      <c r="AC124" s="1"/>
      <c r="AD124" s="1"/>
      <c r="AE124" s="1"/>
      <c r="AF124" s="1"/>
      <c r="AG124" s="1"/>
      <c r="AH124" s="16">
        <f t="shared" si="15"/>
        <v>0</v>
      </c>
      <c r="AI124" s="6"/>
      <c r="AJ124" s="6"/>
      <c r="AK124" s="16">
        <f t="shared" si="16"/>
        <v>-8206.9720447690634</v>
      </c>
      <c r="AL124" s="16"/>
      <c r="AM124" s="17">
        <f t="shared" si="17"/>
        <v>-8206.9720447690634</v>
      </c>
      <c r="AN124" s="17"/>
      <c r="AO124" s="18">
        <f t="shared" si="18"/>
        <v>-8206.9720447690634</v>
      </c>
      <c r="AP124" s="18"/>
      <c r="AQ124" s="19">
        <f t="shared" si="19"/>
        <v>-8206.9720447690634</v>
      </c>
      <c r="AR124" s="19"/>
      <c r="AS124" s="11">
        <f t="shared" si="20"/>
        <v>-8206.9720447690634</v>
      </c>
      <c r="AT124" s="11"/>
      <c r="AU124" s="1"/>
      <c r="AV124" s="1"/>
      <c r="AW124" s="1"/>
      <c r="AX124" s="1"/>
      <c r="AY124" s="1"/>
      <c r="AZ124" s="1"/>
    </row>
    <row r="125" spans="1:52" s="12" customFormat="1" ht="14.4" customHeight="1" x14ac:dyDescent="0.3">
      <c r="A125" s="1"/>
      <c r="B125" s="1"/>
      <c r="C125" s="2"/>
      <c r="D125" s="20"/>
      <c r="E125" s="1"/>
      <c r="F125" s="1"/>
      <c r="G125" s="1"/>
      <c r="H125" s="31" t="s">
        <v>25</v>
      </c>
      <c r="I125" s="32"/>
      <c r="J125" s="32"/>
      <c r="K125" s="602">
        <f>'Beginning Version'!K125</f>
        <v>0</v>
      </c>
      <c r="L125" s="1122">
        <f>'Beginning Version'!L125</f>
        <v>5</v>
      </c>
      <c r="M125" s="591">
        <v>2.2763399999999998</v>
      </c>
      <c r="N125" s="609" t="s">
        <v>90</v>
      </c>
      <c r="O125" s="602">
        <f>$M125*(O100+O101)</f>
        <v>53805.618501947407</v>
      </c>
      <c r="P125" s="1126">
        <v>10</v>
      </c>
      <c r="Q125" s="602">
        <f>$M125*(Q100+Q101)</f>
        <v>53805.618501947407</v>
      </c>
      <c r="R125" s="1126">
        <f t="shared" si="11"/>
        <v>10</v>
      </c>
      <c r="S125" s="602">
        <f>$M125*(S100+S101)</f>
        <v>53805.618501947407</v>
      </c>
      <c r="T125" s="1126">
        <f t="shared" si="12"/>
        <v>10</v>
      </c>
      <c r="U125" s="602">
        <f>$M125*(U100+U101)</f>
        <v>53805.618501947407</v>
      </c>
      <c r="V125" s="1126">
        <f t="shared" si="13"/>
        <v>10</v>
      </c>
      <c r="W125" s="602">
        <f>$M125*(W100+W101)</f>
        <v>65727.039474446472</v>
      </c>
      <c r="X125" s="1126">
        <f t="shared" si="14"/>
        <v>10</v>
      </c>
      <c r="Y125" s="1"/>
      <c r="Z125" s="1"/>
      <c r="AA125" s="1"/>
      <c r="AB125" s="1"/>
      <c r="AC125" s="1"/>
      <c r="AD125" s="1"/>
      <c r="AE125" s="1"/>
      <c r="AF125" s="1"/>
      <c r="AG125" s="1"/>
      <c r="AH125" s="16">
        <f t="shared" si="15"/>
        <v>0</v>
      </c>
      <c r="AI125" s="6"/>
      <c r="AJ125" s="6"/>
      <c r="AK125" s="16">
        <f t="shared" si="16"/>
        <v>-8018.6238143751225</v>
      </c>
      <c r="AL125" s="16"/>
      <c r="AM125" s="17">
        <f t="shared" si="17"/>
        <v>-8018.6238143751225</v>
      </c>
      <c r="AN125" s="17"/>
      <c r="AO125" s="18">
        <f t="shared" si="18"/>
        <v>-8018.6238143751225</v>
      </c>
      <c r="AP125" s="18"/>
      <c r="AQ125" s="19">
        <f t="shared" si="19"/>
        <v>-8018.6238143751225</v>
      </c>
      <c r="AR125" s="19"/>
      <c r="AS125" s="11">
        <f t="shared" si="20"/>
        <v>-9795.2670864492502</v>
      </c>
      <c r="AT125" s="11"/>
      <c r="AU125" s="1"/>
      <c r="AV125" s="1"/>
      <c r="AW125" s="1"/>
      <c r="AX125" s="1"/>
      <c r="AY125" s="1"/>
      <c r="AZ125" s="1"/>
    </row>
    <row r="126" spans="1:52" s="12" customFormat="1" ht="14.4" customHeight="1" x14ac:dyDescent="0.3">
      <c r="A126" s="1"/>
      <c r="B126" s="1"/>
      <c r="C126" s="2"/>
      <c r="D126" s="20"/>
      <c r="E126" s="1"/>
      <c r="F126" s="1"/>
      <c r="G126" s="1"/>
      <c r="H126" s="31" t="s">
        <v>274</v>
      </c>
      <c r="I126" s="32"/>
      <c r="J126" s="32"/>
      <c r="K126" s="603">
        <f>'Beginning Version'!K126</f>
        <v>0</v>
      </c>
      <c r="L126" s="1123">
        <f>'Beginning Version'!L126</f>
        <v>5</v>
      </c>
      <c r="M126" s="594">
        <v>4.54392</v>
      </c>
      <c r="N126" s="607" t="s">
        <v>89</v>
      </c>
      <c r="O126" s="603">
        <f>$M126*O95</f>
        <v>3305.1340202887809</v>
      </c>
      <c r="P126" s="1127">
        <v>10</v>
      </c>
      <c r="Q126" s="603">
        <f>111.27*Q95</f>
        <v>80935.021399481644</v>
      </c>
      <c r="R126" s="1127">
        <f t="shared" si="11"/>
        <v>10</v>
      </c>
      <c r="S126" s="603">
        <f>111.27*S95</f>
        <v>80935.021399481644</v>
      </c>
      <c r="T126" s="1127">
        <f t="shared" si="12"/>
        <v>10</v>
      </c>
      <c r="U126" s="603">
        <f>(35.35+29.26)*U95</f>
        <v>46995.701740096243</v>
      </c>
      <c r="V126" s="1127">
        <f t="shared" si="13"/>
        <v>10</v>
      </c>
      <c r="W126" s="603">
        <f>230*W95</f>
        <v>167296.26064420579</v>
      </c>
      <c r="X126" s="1127">
        <f t="shared" si="14"/>
        <v>10</v>
      </c>
      <c r="Y126" s="1"/>
      <c r="Z126" s="1"/>
      <c r="AA126" s="1"/>
      <c r="AB126" s="1"/>
      <c r="AC126" s="1"/>
      <c r="AD126" s="1"/>
      <c r="AE126" s="1"/>
      <c r="AF126" s="1"/>
      <c r="AG126" s="1"/>
      <c r="AH126" s="16">
        <f t="shared" ref="AH126:AH132" si="21">PMT($I$42,L126,K126,0,0)</f>
        <v>0</v>
      </c>
      <c r="AI126" s="6"/>
      <c r="AJ126" s="6"/>
      <c r="AK126" s="16">
        <f t="shared" ref="AK126:AK132" si="22">PMT($I$42,P126,O126,0,0)</f>
        <v>-492.56243311894627</v>
      </c>
      <c r="AL126" s="16"/>
      <c r="AM126" s="17">
        <f t="shared" ref="AM126:AM132" si="23">PMT($I$42,R126,Q126,0,0)</f>
        <v>-12061.704856851606</v>
      </c>
      <c r="AN126" s="17"/>
      <c r="AO126" s="18">
        <f t="shared" ref="AO126:AO132" si="24">PMT($I$42,T126,S126,0,0)</f>
        <v>-12061.704856851606</v>
      </c>
      <c r="AP126" s="18"/>
      <c r="AQ126" s="19">
        <f t="shared" ref="AQ126:AQ132" si="25">PMT($I$42,V126,U126,0,0)</f>
        <v>-7003.7454012868011</v>
      </c>
      <c r="AR126" s="19"/>
      <c r="AS126" s="11">
        <f t="shared" ref="AS126:AS132" si="26">PMT($I$42,X126,W126,0,0)</f>
        <v>-24932.076184738646</v>
      </c>
      <c r="AT126" s="11"/>
      <c r="AU126" s="1"/>
      <c r="AV126" s="1"/>
      <c r="AW126" s="1"/>
      <c r="AX126" s="1"/>
      <c r="AY126" s="1"/>
      <c r="AZ126" s="1"/>
    </row>
    <row r="127" spans="1:52" s="12" customFormat="1" ht="14.4" customHeight="1" thickBot="1" x14ac:dyDescent="0.35">
      <c r="A127" s="1"/>
      <c r="B127" s="1"/>
      <c r="C127" s="2"/>
      <c r="D127" s="20"/>
      <c r="E127" s="1"/>
      <c r="F127" s="1"/>
      <c r="G127" s="1"/>
      <c r="H127" s="34" t="s">
        <v>275</v>
      </c>
      <c r="I127" s="35"/>
      <c r="J127" s="35"/>
      <c r="K127" s="604">
        <f>'Beginning Version'!K127</f>
        <v>0</v>
      </c>
      <c r="L127" s="1124">
        <f>'Beginning Version'!L127</f>
        <v>5</v>
      </c>
      <c r="M127" s="598">
        <v>4.54392</v>
      </c>
      <c r="N127" s="608" t="s">
        <v>89</v>
      </c>
      <c r="O127" s="604">
        <f>$M127*O96</f>
        <v>1346.3192512402816</v>
      </c>
      <c r="P127" s="1128">
        <v>10</v>
      </c>
      <c r="Q127" s="604">
        <f>$M127*Q96</f>
        <v>1346.3192512402816</v>
      </c>
      <c r="R127" s="1128">
        <f t="shared" si="11"/>
        <v>10</v>
      </c>
      <c r="S127" s="604">
        <f>$M127*S96</f>
        <v>1346.3192512402816</v>
      </c>
      <c r="T127" s="1128">
        <f t="shared" si="12"/>
        <v>10</v>
      </c>
      <c r="U127" s="604">
        <f>$M127*U96</f>
        <v>1346.3192512402816</v>
      </c>
      <c r="V127" s="1128">
        <f t="shared" si="13"/>
        <v>10</v>
      </c>
      <c r="W127" s="604">
        <f>$M127*W96</f>
        <v>1346.3192512402816</v>
      </c>
      <c r="X127" s="1128">
        <f t="shared" si="14"/>
        <v>10</v>
      </c>
      <c r="Y127" s="1"/>
      <c r="Z127" s="1"/>
      <c r="AA127" s="1"/>
      <c r="AB127" s="1"/>
      <c r="AC127" s="1"/>
      <c r="AD127" s="1"/>
      <c r="AE127" s="1"/>
      <c r="AF127" s="1"/>
      <c r="AG127" s="1"/>
      <c r="AH127" s="16">
        <f t="shared" si="21"/>
        <v>0</v>
      </c>
      <c r="AI127" s="6"/>
      <c r="AJ127" s="6"/>
      <c r="AK127" s="16">
        <f t="shared" si="22"/>
        <v>-200.64126963536856</v>
      </c>
      <c r="AL127" s="16"/>
      <c r="AM127" s="17">
        <f t="shared" si="23"/>
        <v>-200.64126963536856</v>
      </c>
      <c r="AN127" s="17"/>
      <c r="AO127" s="18">
        <f t="shared" si="24"/>
        <v>-200.64126963536856</v>
      </c>
      <c r="AP127" s="18"/>
      <c r="AQ127" s="19">
        <f t="shared" si="25"/>
        <v>-200.64126963536856</v>
      </c>
      <c r="AR127" s="19"/>
      <c r="AS127" s="11">
        <f t="shared" si="26"/>
        <v>-200.64126963536856</v>
      </c>
      <c r="AT127" s="11"/>
      <c r="AU127" s="1"/>
      <c r="AV127" s="1"/>
      <c r="AW127" s="1"/>
      <c r="AX127" s="1"/>
      <c r="AY127" s="1"/>
      <c r="AZ127" s="1"/>
    </row>
    <row r="128" spans="1:52" s="12" customFormat="1" ht="14.4" customHeight="1" thickBot="1" x14ac:dyDescent="0.35">
      <c r="A128" s="1"/>
      <c r="B128" s="1"/>
      <c r="C128" s="2"/>
      <c r="D128" s="20"/>
      <c r="E128" s="1"/>
      <c r="F128" s="1"/>
      <c r="G128" s="1"/>
      <c r="H128" s="28" t="s">
        <v>276</v>
      </c>
      <c r="I128" s="29"/>
      <c r="J128" s="29"/>
      <c r="K128" s="602">
        <f>'Beginning Version'!K128</f>
        <v>0</v>
      </c>
      <c r="L128" s="1122">
        <f>'Beginning Version'!L128</f>
        <v>5</v>
      </c>
      <c r="M128" s="593">
        <v>4.54392</v>
      </c>
      <c r="N128" s="609" t="s">
        <v>89</v>
      </c>
      <c r="O128" s="602">
        <f>$M128*O97</f>
        <v>165.33745190670126</v>
      </c>
      <c r="P128" s="1126">
        <v>10</v>
      </c>
      <c r="Q128" s="602">
        <f>$M128*Q97</f>
        <v>165.33745190670126</v>
      </c>
      <c r="R128" s="1126">
        <f t="shared" si="11"/>
        <v>10</v>
      </c>
      <c r="S128" s="602">
        <f>$M128*S97</f>
        <v>165.33745190670126</v>
      </c>
      <c r="T128" s="1126">
        <f t="shared" si="12"/>
        <v>10</v>
      </c>
      <c r="U128" s="602">
        <f>$M128*U97</f>
        <v>165.33745190670126</v>
      </c>
      <c r="V128" s="1126">
        <f t="shared" si="13"/>
        <v>10</v>
      </c>
      <c r="W128" s="602">
        <f>$M128*W97</f>
        <v>165.33745190670126</v>
      </c>
      <c r="X128" s="1126">
        <f t="shared" si="14"/>
        <v>10</v>
      </c>
      <c r="Y128" s="1"/>
      <c r="Z128" s="1"/>
      <c r="AA128" s="1"/>
      <c r="AB128" s="1"/>
      <c r="AC128" s="1"/>
      <c r="AD128" s="1"/>
      <c r="AE128" s="1"/>
      <c r="AF128" s="1"/>
      <c r="AG128" s="1"/>
      <c r="AH128" s="16">
        <f t="shared" si="21"/>
        <v>0</v>
      </c>
      <c r="AI128" s="6"/>
      <c r="AJ128" s="6"/>
      <c r="AK128" s="16">
        <f t="shared" si="22"/>
        <v>-24.640155920132983</v>
      </c>
      <c r="AL128" s="16"/>
      <c r="AM128" s="17">
        <f t="shared" si="23"/>
        <v>-24.640155920132983</v>
      </c>
      <c r="AN128" s="17"/>
      <c r="AO128" s="18">
        <f t="shared" si="24"/>
        <v>-24.640155920132983</v>
      </c>
      <c r="AP128" s="18"/>
      <c r="AQ128" s="19">
        <f t="shared" si="25"/>
        <v>-24.640155920132983</v>
      </c>
      <c r="AR128" s="19"/>
      <c r="AS128" s="11">
        <f t="shared" si="26"/>
        <v>-24.640155920132983</v>
      </c>
      <c r="AT128" s="11"/>
      <c r="AU128" s="1"/>
      <c r="AV128" s="1"/>
      <c r="AW128" s="1"/>
      <c r="AX128" s="1"/>
      <c r="AY128" s="1"/>
      <c r="AZ128" s="1"/>
    </row>
    <row r="129" spans="1:52" s="12" customFormat="1" ht="14.4" customHeight="1" thickBot="1" x14ac:dyDescent="0.35">
      <c r="A129" s="1"/>
      <c r="B129" s="1"/>
      <c r="C129" s="2"/>
      <c r="D129" s="3"/>
      <c r="E129" s="1"/>
      <c r="F129" s="1"/>
      <c r="G129" s="1"/>
      <c r="H129" s="1300" t="s">
        <v>295</v>
      </c>
      <c r="I129" s="1301"/>
      <c r="J129" s="1301"/>
      <c r="K129" s="359"/>
      <c r="L129" s="1261">
        <v>10</v>
      </c>
      <c r="M129" s="901">
        <v>35</v>
      </c>
      <c r="N129" s="609" t="s">
        <v>89</v>
      </c>
      <c r="O129" s="895">
        <f>0.05*O102*$M129</f>
        <v>50400</v>
      </c>
      <c r="P129" s="1048">
        <v>10</v>
      </c>
      <c r="Q129" s="895">
        <f>0.05*Q102*$M129</f>
        <v>50400</v>
      </c>
      <c r="R129" s="1048">
        <f t="shared" si="11"/>
        <v>10</v>
      </c>
      <c r="S129" s="895">
        <f>0.05*S102*$M129</f>
        <v>50400</v>
      </c>
      <c r="T129" s="1048">
        <f t="shared" si="12"/>
        <v>10</v>
      </c>
      <c r="U129" s="895">
        <f>0.05*U102*$M129</f>
        <v>50400</v>
      </c>
      <c r="V129" s="1048">
        <f t="shared" si="13"/>
        <v>10</v>
      </c>
      <c r="W129" s="895">
        <f>0.05*W102*$M129</f>
        <v>50400</v>
      </c>
      <c r="X129" s="1048">
        <f t="shared" si="14"/>
        <v>10</v>
      </c>
      <c r="Y129" s="1"/>
      <c r="Z129" s="1"/>
      <c r="AA129" s="1"/>
      <c r="AB129" s="1"/>
      <c r="AC129" s="1"/>
      <c r="AD129" s="1"/>
      <c r="AE129" s="1"/>
      <c r="AF129" s="1"/>
      <c r="AG129" s="1"/>
      <c r="AH129" s="16">
        <f t="shared" si="21"/>
        <v>0</v>
      </c>
      <c r="AI129" s="6"/>
      <c r="AJ129" s="6"/>
      <c r="AK129" s="16">
        <f t="shared" si="22"/>
        <v>-7511.0862303326012</v>
      </c>
      <c r="AL129" s="16"/>
      <c r="AM129" s="17">
        <f t="shared" si="23"/>
        <v>-7511.0862303326012</v>
      </c>
      <c r="AN129" s="17"/>
      <c r="AO129" s="18">
        <f t="shared" si="24"/>
        <v>-7511.0862303326012</v>
      </c>
      <c r="AP129" s="18"/>
      <c r="AQ129" s="19">
        <f t="shared" si="25"/>
        <v>-7511.0862303326012</v>
      </c>
      <c r="AR129" s="19"/>
      <c r="AS129" s="11">
        <f t="shared" si="26"/>
        <v>-7511.0862303326012</v>
      </c>
      <c r="AT129" s="11"/>
      <c r="AU129" s="1"/>
      <c r="AV129" s="1"/>
      <c r="AW129" s="1"/>
      <c r="AX129" s="1"/>
      <c r="AY129" s="1"/>
      <c r="AZ129" s="1"/>
    </row>
    <row r="130" spans="1:52" s="12" customFormat="1" ht="14.4" customHeight="1" thickBot="1" x14ac:dyDescent="0.35">
      <c r="A130" s="1"/>
      <c r="B130" s="1"/>
      <c r="C130" s="2"/>
      <c r="D130" s="3"/>
      <c r="E130" s="1"/>
      <c r="F130" s="1"/>
      <c r="G130" s="1"/>
      <c r="H130" s="1343" t="s">
        <v>92</v>
      </c>
      <c r="I130" s="1344"/>
      <c r="J130" s="1344"/>
      <c r="K130" s="604">
        <f>'Beginning Version'!K130</f>
        <v>0</v>
      </c>
      <c r="L130" s="1124">
        <f>'Beginning Version'!L130</f>
        <v>2.5</v>
      </c>
      <c r="M130" s="600"/>
      <c r="N130" s="608"/>
      <c r="O130" s="604">
        <v>0</v>
      </c>
      <c r="P130" s="1128">
        <v>5</v>
      </c>
      <c r="Q130" s="604">
        <v>0</v>
      </c>
      <c r="R130" s="1128">
        <f t="shared" si="11"/>
        <v>5</v>
      </c>
      <c r="S130" s="604">
        <v>0</v>
      </c>
      <c r="T130" s="1128">
        <f t="shared" si="12"/>
        <v>5</v>
      </c>
      <c r="U130" s="604">
        <v>0</v>
      </c>
      <c r="V130" s="1128">
        <f t="shared" si="13"/>
        <v>5</v>
      </c>
      <c r="W130" s="604">
        <v>0</v>
      </c>
      <c r="X130" s="1128">
        <f t="shared" si="14"/>
        <v>5</v>
      </c>
      <c r="Y130" s="1"/>
      <c r="Z130" s="1"/>
      <c r="AA130" s="1"/>
      <c r="AB130" s="1"/>
      <c r="AC130" s="1"/>
      <c r="AD130" s="1"/>
      <c r="AE130" s="1"/>
      <c r="AF130" s="1"/>
      <c r="AG130" s="1"/>
      <c r="AH130" s="16">
        <f t="shared" si="21"/>
        <v>0</v>
      </c>
      <c r="AI130" s="6"/>
      <c r="AJ130" s="6"/>
      <c r="AK130" s="16">
        <f t="shared" si="22"/>
        <v>0</v>
      </c>
      <c r="AL130" s="16"/>
      <c r="AM130" s="17">
        <f t="shared" si="23"/>
        <v>0</v>
      </c>
      <c r="AN130" s="17"/>
      <c r="AO130" s="18">
        <f t="shared" si="24"/>
        <v>0</v>
      </c>
      <c r="AP130" s="18"/>
      <c r="AQ130" s="19">
        <f t="shared" si="25"/>
        <v>0</v>
      </c>
      <c r="AR130" s="19"/>
      <c r="AS130" s="11">
        <f t="shared" si="26"/>
        <v>0</v>
      </c>
      <c r="AT130" s="11"/>
      <c r="AU130" s="1"/>
      <c r="AV130" s="1"/>
      <c r="AW130" s="1"/>
      <c r="AX130" s="1"/>
      <c r="AY130" s="1"/>
      <c r="AZ130" s="1"/>
    </row>
    <row r="131" spans="1:52" s="12" customFormat="1" ht="14.4" customHeight="1" thickBot="1" x14ac:dyDescent="0.35">
      <c r="A131" s="1"/>
      <c r="B131" s="1"/>
      <c r="C131" s="2"/>
      <c r="D131" s="3"/>
      <c r="E131" s="1"/>
      <c r="F131" s="1"/>
      <c r="G131" s="1"/>
      <c r="H131" s="14" t="s">
        <v>14</v>
      </c>
      <c r="I131" s="13"/>
      <c r="J131" s="13"/>
      <c r="K131" s="602">
        <f>'Beginning Version'!K131</f>
        <v>0</v>
      </c>
      <c r="L131" s="1122">
        <f>'Beginning Version'!L131</f>
        <v>5</v>
      </c>
      <c r="M131" s="593">
        <v>0.10511</v>
      </c>
      <c r="N131" s="609" t="s">
        <v>90</v>
      </c>
      <c r="O131" s="602">
        <f>$M131*(O100+O101)</f>
        <v>2484.4744461458713</v>
      </c>
      <c r="P131" s="1126">
        <v>10</v>
      </c>
      <c r="Q131" s="602">
        <f>$M131*(Q100+Q101)</f>
        <v>2484.4744461458713</v>
      </c>
      <c r="R131" s="1126">
        <f t="shared" si="11"/>
        <v>10</v>
      </c>
      <c r="S131" s="602">
        <f>$M131*(S100+S101)</f>
        <v>2484.4744461458713</v>
      </c>
      <c r="T131" s="1126">
        <f t="shared" si="12"/>
        <v>10</v>
      </c>
      <c r="U131" s="602">
        <f>$M131*(U100+U101)</f>
        <v>2484.4744461458713</v>
      </c>
      <c r="V131" s="1126">
        <f t="shared" si="13"/>
        <v>10</v>
      </c>
      <c r="W131" s="602">
        <f>$M131*(W100+W101)</f>
        <v>3034.9460621695657</v>
      </c>
      <c r="X131" s="1126">
        <f t="shared" si="14"/>
        <v>10</v>
      </c>
      <c r="Y131" s="1"/>
      <c r="Z131" s="1"/>
      <c r="AA131" s="1"/>
      <c r="AB131" s="1"/>
      <c r="AC131" s="1"/>
      <c r="AD131" s="1"/>
      <c r="AE131" s="1"/>
      <c r="AF131" s="1"/>
      <c r="AG131" s="1"/>
      <c r="AH131" s="16">
        <f t="shared" si="21"/>
        <v>0</v>
      </c>
      <c r="AI131" s="6"/>
      <c r="AJ131" s="6"/>
      <c r="AK131" s="16">
        <f t="shared" si="22"/>
        <v>-370.25995639006885</v>
      </c>
      <c r="AL131" s="16"/>
      <c r="AM131" s="17">
        <f t="shared" si="23"/>
        <v>-370.25995639006885</v>
      </c>
      <c r="AN131" s="17"/>
      <c r="AO131" s="18">
        <f t="shared" si="24"/>
        <v>-370.25995639006885</v>
      </c>
      <c r="AP131" s="18"/>
      <c r="AQ131" s="19">
        <f t="shared" si="25"/>
        <v>-370.25995639006885</v>
      </c>
      <c r="AR131" s="19"/>
      <c r="AS131" s="11">
        <f t="shared" si="26"/>
        <v>-452.29645986833282</v>
      </c>
      <c r="AT131" s="11"/>
      <c r="AU131" s="1"/>
      <c r="AV131" s="1"/>
      <c r="AW131" s="1"/>
      <c r="AX131" s="1"/>
      <c r="AY131" s="1"/>
      <c r="AZ131" s="1"/>
    </row>
    <row r="132" spans="1:52" s="12" customFormat="1" ht="14.4" customHeight="1" thickBot="1" x14ac:dyDescent="0.35">
      <c r="A132" s="1"/>
      <c r="B132" s="1"/>
      <c r="C132" s="2"/>
      <c r="D132" s="3"/>
      <c r="E132" s="1"/>
      <c r="F132" s="1"/>
      <c r="G132" s="1"/>
      <c r="H132" s="1343" t="s">
        <v>15</v>
      </c>
      <c r="I132" s="1344"/>
      <c r="J132" s="1344"/>
      <c r="K132" s="604">
        <f>'Beginning Version'!K132</f>
        <v>0</v>
      </c>
      <c r="L132" s="1124">
        <f>'Beginning Version'!L132</f>
        <v>5</v>
      </c>
      <c r="M132" s="601">
        <v>0.5</v>
      </c>
      <c r="N132" s="606" t="s">
        <v>89</v>
      </c>
      <c r="O132" s="604">
        <f>$M132*O98</f>
        <v>530.02591632728615</v>
      </c>
      <c r="P132" s="1128">
        <v>10</v>
      </c>
      <c r="Q132" s="604">
        <f>$M132*Q98</f>
        <v>530.02591632728615</v>
      </c>
      <c r="R132" s="1128">
        <f t="shared" si="11"/>
        <v>10</v>
      </c>
      <c r="S132" s="604">
        <f>$M132*S98</f>
        <v>530.02591632728615</v>
      </c>
      <c r="T132" s="1128">
        <f t="shared" si="12"/>
        <v>10</v>
      </c>
      <c r="U132" s="604">
        <f>$M132*U98*3</f>
        <v>1590.0777489818583</v>
      </c>
      <c r="V132" s="1128">
        <f t="shared" si="13"/>
        <v>10</v>
      </c>
      <c r="W132" s="604">
        <f>$M132*W98*2</f>
        <v>1060.0518326545723</v>
      </c>
      <c r="X132" s="1128">
        <f t="shared" si="14"/>
        <v>10</v>
      </c>
      <c r="Y132" s="1"/>
      <c r="Z132" s="1"/>
      <c r="AA132" s="1"/>
      <c r="AB132" s="1"/>
      <c r="AC132" s="1"/>
      <c r="AD132" s="1"/>
      <c r="AE132" s="1"/>
      <c r="AF132" s="1"/>
      <c r="AG132" s="1"/>
      <c r="AH132" s="5">
        <f t="shared" si="21"/>
        <v>0</v>
      </c>
      <c r="AI132" s="6"/>
      <c r="AJ132" s="6"/>
      <c r="AK132" s="5">
        <f t="shared" si="22"/>
        <v>-78.989491306454326</v>
      </c>
      <c r="AL132" s="5"/>
      <c r="AM132" s="7">
        <f t="shared" si="23"/>
        <v>-78.989491306454326</v>
      </c>
      <c r="AN132" s="7"/>
      <c r="AO132" s="8">
        <f t="shared" si="24"/>
        <v>-78.989491306454326</v>
      </c>
      <c r="AP132" s="8"/>
      <c r="AQ132" s="9">
        <f t="shared" si="25"/>
        <v>-236.96847391936296</v>
      </c>
      <c r="AR132" s="9"/>
      <c r="AS132" s="10">
        <f t="shared" si="26"/>
        <v>-157.97898261290865</v>
      </c>
      <c r="AT132" s="11"/>
      <c r="AU132" s="1"/>
      <c r="AV132" s="1"/>
      <c r="AW132" s="1"/>
      <c r="AX132" s="1"/>
      <c r="AY132" s="1"/>
      <c r="AZ132" s="1"/>
    </row>
    <row r="133" spans="1:52" s="12" customFormat="1" ht="14.4" customHeight="1" x14ac:dyDescent="0.3">
      <c r="A133" s="1"/>
      <c r="B133" s="213"/>
      <c r="C133" s="213"/>
      <c r="D133" s="3"/>
      <c r="E133" s="1"/>
      <c r="F133" s="1"/>
      <c r="G133" s="223"/>
      <c r="H133" s="223"/>
      <c r="I133" s="223"/>
      <c r="J133" s="321" t="s">
        <v>282</v>
      </c>
      <c r="K133" s="322">
        <f>SUM(K107:K132)</f>
        <v>110000</v>
      </c>
      <c r="L133" s="557"/>
      <c r="M133" s="252"/>
      <c r="N133" s="323"/>
      <c r="O133" s="576">
        <f>SUM(O107:O132)</f>
        <v>364966.070878667</v>
      </c>
      <c r="P133" s="1051"/>
      <c r="Q133" s="578">
        <f>SUM(Q107:Q132)</f>
        <v>449394.46368666406</v>
      </c>
      <c r="R133" s="1060"/>
      <c r="S133" s="581">
        <f>SUM(S107:S132)</f>
        <v>460770.60941047006</v>
      </c>
      <c r="T133" s="1069"/>
      <c r="U133" s="584">
        <f>SUM(U107:U132)</f>
        <v>569739.20061254327</v>
      </c>
      <c r="V133" s="1076"/>
      <c r="W133" s="587">
        <f>SUM(W107:W132)</f>
        <v>671741.57162807847</v>
      </c>
      <c r="X133" s="1086"/>
      <c r="Y133" s="1"/>
      <c r="Z133" s="1"/>
      <c r="AA133" s="1"/>
      <c r="AB133" s="1"/>
      <c r="AC133" s="1"/>
      <c r="AD133" s="1"/>
      <c r="AE133" s="1"/>
      <c r="AF133" s="1"/>
      <c r="AG133" s="1"/>
      <c r="AH133" s="16">
        <f>SUM(AH107:AH132)</f>
        <v>-14771.809668615255</v>
      </c>
      <c r="AI133" s="6"/>
      <c r="AJ133" s="6"/>
      <c r="AK133" s="16">
        <f>SUM(AK107:AK132)</f>
        <v>-44992.920207347372</v>
      </c>
      <c r="AL133" s="16"/>
      <c r="AM133" s="17">
        <f>SUM(AM107:AM132)</f>
        <v>-57356.328926572278</v>
      </c>
      <c r="AN133" s="17"/>
      <c r="AO133" s="18">
        <f>SUM(AO107:AO132)</f>
        <v>-58685.398854610386</v>
      </c>
      <c r="AP133" s="18"/>
      <c r="AQ133" s="19">
        <f>SUM(AQ107:AQ132)</f>
        <v>-70357.439202142399</v>
      </c>
      <c r="AR133" s="19"/>
      <c r="AS133" s="11">
        <f>SUM(AS107:AS132)</f>
        <v>-83960.234585830854</v>
      </c>
      <c r="AT133" s="11"/>
      <c r="AU133" s="1"/>
      <c r="AV133" s="1"/>
      <c r="AW133" s="1"/>
      <c r="AX133" s="1"/>
      <c r="AY133" s="1"/>
      <c r="AZ133" s="1"/>
    </row>
    <row r="134" spans="1:52" s="12" customFormat="1" ht="14.4" customHeight="1" thickBot="1" x14ac:dyDescent="0.35">
      <c r="A134" s="1"/>
      <c r="B134" s="1"/>
      <c r="C134" s="1"/>
      <c r="D134" s="3"/>
      <c r="E134" s="1"/>
      <c r="F134" s="223"/>
      <c r="G134" s="223"/>
      <c r="H134" s="223"/>
      <c r="I134" s="223"/>
      <c r="J134" s="321" t="s">
        <v>266</v>
      </c>
      <c r="K134" s="325">
        <f>K133/K74</f>
        <v>103.76851075719478</v>
      </c>
      <c r="L134" s="552" t="s">
        <v>114</v>
      </c>
      <c r="M134" s="260"/>
      <c r="N134" s="260"/>
      <c r="O134" s="558">
        <f>O133/AK98</f>
        <v>344.29077865440053</v>
      </c>
      <c r="P134" s="393" t="s">
        <v>114</v>
      </c>
      <c r="Q134" s="562">
        <f>Q133/AM98</f>
        <v>423.93631126630333</v>
      </c>
      <c r="R134" s="563" t="s">
        <v>114</v>
      </c>
      <c r="S134" s="566">
        <f>S133/AO98</f>
        <v>434.66799944735948</v>
      </c>
      <c r="T134" s="567" t="s">
        <v>114</v>
      </c>
      <c r="U134" s="570">
        <f>U133/AQ98</f>
        <v>537.46353061416573</v>
      </c>
      <c r="V134" s="571" t="s">
        <v>114</v>
      </c>
      <c r="W134" s="574">
        <f>W133/AS98</f>
        <v>633.68747728675612</v>
      </c>
      <c r="X134" s="332" t="s">
        <v>114</v>
      </c>
      <c r="Y134" s="40"/>
      <c r="Z134" s="40"/>
      <c r="AA134" s="1"/>
      <c r="AB134" s="1"/>
      <c r="AC134" s="1"/>
      <c r="AD134" s="1"/>
      <c r="AE134" s="1"/>
      <c r="AF134" s="1"/>
      <c r="AG134" s="1"/>
      <c r="AH134" s="212"/>
      <c r="AI134" s="6"/>
      <c r="AJ134" s="6"/>
      <c r="AK134" s="16"/>
      <c r="AL134" s="16"/>
      <c r="AM134" s="17"/>
      <c r="AN134" s="17"/>
      <c r="AO134" s="18"/>
      <c r="AP134" s="18"/>
      <c r="AQ134" s="19"/>
      <c r="AR134" s="19"/>
      <c r="AS134" s="11"/>
      <c r="AT134" s="11"/>
      <c r="AU134" s="1"/>
      <c r="AV134" s="1"/>
      <c r="AW134" s="1"/>
      <c r="AX134" s="1"/>
      <c r="AY134" s="1"/>
      <c r="AZ134" s="1"/>
    </row>
    <row r="135" spans="1:52" s="12" customFormat="1" ht="14.4" customHeight="1" thickBot="1" x14ac:dyDescent="0.35">
      <c r="A135" s="1"/>
      <c r="B135" s="1"/>
      <c r="C135" s="1"/>
      <c r="D135" s="3"/>
      <c r="G135" s="1"/>
      <c r="H135" s="1"/>
      <c r="I135" s="1"/>
      <c r="J135" s="1"/>
      <c r="X135" s="1012"/>
      <c r="Y135" s="1"/>
      <c r="Z135" s="1"/>
      <c r="AA135" s="1"/>
      <c r="AB135" s="1"/>
      <c r="AC135" s="1"/>
      <c r="AD135" s="1"/>
      <c r="AE135" s="1"/>
      <c r="AF135" s="1"/>
      <c r="AG135" s="1"/>
      <c r="AH135" s="212"/>
      <c r="AI135" s="6"/>
      <c r="AJ135" s="6"/>
      <c r="AK135" s="16"/>
      <c r="AL135" s="16"/>
      <c r="AM135" s="17"/>
      <c r="AN135" s="17"/>
      <c r="AO135" s="18"/>
      <c r="AP135" s="18"/>
      <c r="AQ135" s="19"/>
      <c r="AR135" s="19"/>
      <c r="AS135" s="11"/>
      <c r="AT135" s="11"/>
      <c r="AU135" s="1"/>
      <c r="AV135" s="1"/>
      <c r="AW135" s="1"/>
      <c r="AX135" s="1"/>
      <c r="AY135" s="1"/>
      <c r="AZ135" s="1"/>
    </row>
    <row r="136" spans="1:52" s="12" customFormat="1" ht="14.4" customHeight="1" x14ac:dyDescent="0.3">
      <c r="A136" s="1"/>
      <c r="B136" s="1"/>
      <c r="C136" s="1"/>
      <c r="D136" s="3"/>
      <c r="E136" s="1"/>
      <c r="F136" s="1"/>
      <c r="G136" s="1"/>
      <c r="H136" s="1"/>
      <c r="I136" s="38" t="s">
        <v>80</v>
      </c>
      <c r="J136" s="1227">
        <v>300</v>
      </c>
      <c r="K136" s="1226">
        <f>J136*K98</f>
        <v>318015.54979637172</v>
      </c>
      <c r="L136" s="557"/>
      <c r="M136" s="252"/>
      <c r="N136" s="252"/>
      <c r="O136" s="508">
        <f>$J136*AK98</f>
        <v>318015.54979637172</v>
      </c>
      <c r="P136" s="389"/>
      <c r="Q136" s="512">
        <f>$J136*AM98</f>
        <v>318015.54979637172</v>
      </c>
      <c r="R136" s="513"/>
      <c r="S136" s="518">
        <f>$J136*AO98</f>
        <v>318015.54979637172</v>
      </c>
      <c r="T136" s="421"/>
      <c r="U136" s="521">
        <f>$J136*AQ98</f>
        <v>318015.54979637172</v>
      </c>
      <c r="V136" s="522"/>
      <c r="W136" s="527">
        <f>$J136*AS98</f>
        <v>318015.54979637172</v>
      </c>
      <c r="X136" s="1087"/>
      <c r="Y136" s="1"/>
      <c r="Z136" s="1"/>
      <c r="AA136" s="1"/>
      <c r="AB136" s="1"/>
      <c r="AC136" s="1"/>
      <c r="AD136" s="1"/>
      <c r="AE136" s="1"/>
      <c r="AF136" s="1"/>
      <c r="AG136" s="38" t="s">
        <v>52</v>
      </c>
      <c r="AH136" s="5">
        <f>PMT($I$42,100,K136,0,0)</f>
        <v>-25452.814700589679</v>
      </c>
      <c r="AI136" s="6"/>
      <c r="AJ136" s="6"/>
      <c r="AK136" s="5">
        <f>PMT($I$42,100,O136,0,0)</f>
        <v>-25452.814700589679</v>
      </c>
      <c r="AL136" s="5"/>
      <c r="AM136" s="7">
        <f>PMT($I$42,100,Q136,0,0)</f>
        <v>-25452.814700589679</v>
      </c>
      <c r="AN136" s="7"/>
      <c r="AO136" s="8">
        <f>PMT($I$42,100,S136,0,0)</f>
        <v>-25452.814700589679</v>
      </c>
      <c r="AP136" s="8"/>
      <c r="AQ136" s="9">
        <f>PMT($I$42,100,U136,0,0)</f>
        <v>-25452.814700589679</v>
      </c>
      <c r="AR136" s="9"/>
      <c r="AS136" s="10">
        <f>PMT($I$42,100,W136,0,0)</f>
        <v>-25452.814700589679</v>
      </c>
      <c r="AT136" s="10"/>
      <c r="AU136" s="1"/>
      <c r="AV136" s="1"/>
      <c r="AW136" s="1"/>
      <c r="AX136" s="1"/>
      <c r="AY136" s="1"/>
      <c r="AZ136" s="1"/>
    </row>
    <row r="137" spans="1:52" s="12" customFormat="1" ht="14.4" customHeight="1" x14ac:dyDescent="0.3">
      <c r="A137" s="1"/>
      <c r="B137" s="1"/>
      <c r="C137" s="1"/>
      <c r="D137" s="3"/>
      <c r="E137" s="1"/>
      <c r="F137" s="1"/>
      <c r="G137" s="1"/>
      <c r="H137" s="1"/>
      <c r="I137" s="1"/>
      <c r="J137" s="321" t="s">
        <v>281</v>
      </c>
      <c r="K137" s="329">
        <f>K133+K136</f>
        <v>428015.54979637172</v>
      </c>
      <c r="L137" s="551"/>
      <c r="M137" s="39"/>
      <c r="N137" s="39"/>
      <c r="O137" s="509">
        <f>O133+O136-K136</f>
        <v>364966.07087866706</v>
      </c>
      <c r="P137" s="799"/>
      <c r="Q137" s="514">
        <f>Q133+Q136-K136</f>
        <v>449394.46368666412</v>
      </c>
      <c r="R137" s="993"/>
      <c r="S137" s="519">
        <f>S133+S136-K136</f>
        <v>460770.60941047012</v>
      </c>
      <c r="T137" s="801"/>
      <c r="U137" s="523">
        <f>U133+U136-K136</f>
        <v>569739.20061254327</v>
      </c>
      <c r="V137" s="1078"/>
      <c r="W137" s="528">
        <f>W133+W136-K136</f>
        <v>671741.57162807847</v>
      </c>
      <c r="X137" s="986"/>
      <c r="Y137" s="1"/>
      <c r="Z137" s="1"/>
      <c r="AA137" s="1"/>
      <c r="AB137" s="1"/>
      <c r="AC137" s="1"/>
      <c r="AD137" s="1"/>
      <c r="AE137" s="1"/>
      <c r="AF137" s="1"/>
      <c r="AG137" s="38" t="s">
        <v>53</v>
      </c>
      <c r="AH137" s="16">
        <f>AH133+AH136</f>
        <v>-40224.624369204932</v>
      </c>
      <c r="AI137" s="6"/>
      <c r="AJ137" s="6"/>
      <c r="AK137" s="16">
        <f>AK133+AK136-$AH136</f>
        <v>-44992.920207347372</v>
      </c>
      <c r="AL137" s="16"/>
      <c r="AM137" s="17">
        <f>AM133+AM136-AH136</f>
        <v>-57356.328926572285</v>
      </c>
      <c r="AN137" s="17"/>
      <c r="AO137" s="18">
        <f>AO133+AO136-AH136</f>
        <v>-58685.398854610394</v>
      </c>
      <c r="AP137" s="18"/>
      <c r="AQ137" s="19">
        <f>AQ133+AQ136-AH136</f>
        <v>-70357.439202142399</v>
      </c>
      <c r="AR137" s="19"/>
      <c r="AS137" s="11">
        <f>AS133+AS136-AH136</f>
        <v>-83960.234585830854</v>
      </c>
      <c r="AT137" s="11"/>
      <c r="AU137" s="1"/>
      <c r="AV137" s="1"/>
      <c r="AW137" s="1"/>
      <c r="AX137" s="1"/>
      <c r="AY137" s="1"/>
      <c r="AZ137" s="1"/>
    </row>
    <row r="138" spans="1:52" s="12" customFormat="1" ht="14.4" customHeight="1" thickBot="1" x14ac:dyDescent="0.35">
      <c r="A138" s="1"/>
      <c r="B138" s="1"/>
      <c r="C138" s="1"/>
      <c r="D138" s="3"/>
      <c r="E138" s="40"/>
      <c r="F138" s="1"/>
      <c r="G138" s="1"/>
      <c r="H138" s="1"/>
      <c r="I138" s="1"/>
      <c r="J138" s="38" t="s">
        <v>267</v>
      </c>
      <c r="K138" s="331">
        <f>K137/K74</f>
        <v>403.76851075719486</v>
      </c>
      <c r="L138" s="552" t="s">
        <v>114</v>
      </c>
      <c r="M138" s="260"/>
      <c r="N138" s="260"/>
      <c r="O138" s="558">
        <f>O137/AK98</f>
        <v>344.29077865440058</v>
      </c>
      <c r="P138" s="559" t="s">
        <v>114</v>
      </c>
      <c r="Q138" s="562">
        <f>Q137/AM98</f>
        <v>423.93631126630339</v>
      </c>
      <c r="R138" s="563" t="s">
        <v>114</v>
      </c>
      <c r="S138" s="566">
        <f>S137/AO98</f>
        <v>434.66799944735953</v>
      </c>
      <c r="T138" s="567" t="s">
        <v>114</v>
      </c>
      <c r="U138" s="570">
        <f>U137/AQ98</f>
        <v>537.46353061416573</v>
      </c>
      <c r="V138" s="571" t="s">
        <v>114</v>
      </c>
      <c r="W138" s="574">
        <f>W137/AS98</f>
        <v>633.68747728675612</v>
      </c>
      <c r="X138" s="332" t="s">
        <v>114</v>
      </c>
      <c r="Y138" s="1"/>
      <c r="Z138" s="1"/>
      <c r="AA138" s="1"/>
      <c r="AB138" s="1"/>
      <c r="AC138" s="1"/>
      <c r="AD138" s="1"/>
      <c r="AE138" s="1"/>
      <c r="AF138" s="1"/>
      <c r="AG138" s="1"/>
      <c r="AH138" s="1"/>
      <c r="AI138" s="6"/>
      <c r="AJ138" s="6"/>
      <c r="AK138" s="16"/>
      <c r="AL138" s="16"/>
      <c r="AM138" s="17"/>
      <c r="AN138" s="17"/>
      <c r="AO138" s="18"/>
      <c r="AP138" s="18"/>
      <c r="AQ138" s="19"/>
      <c r="AR138" s="19"/>
      <c r="AS138" s="11"/>
      <c r="AT138" s="11"/>
      <c r="AU138" s="1"/>
      <c r="AV138" s="1"/>
      <c r="AW138" s="1"/>
      <c r="AX138" s="1"/>
      <c r="AY138" s="1"/>
      <c r="AZ138" s="1"/>
    </row>
    <row r="139" spans="1:52" s="12" customFormat="1" ht="14.4" customHeight="1" thickBot="1" x14ac:dyDescent="0.35">
      <c r="A139" s="1"/>
      <c r="B139" s="1"/>
      <c r="C139" s="1"/>
      <c r="D139" s="3"/>
      <c r="E139" s="1"/>
      <c r="F139" s="223"/>
      <c r="G139" s="223"/>
      <c r="H139" s="223"/>
      <c r="I139" s="223"/>
      <c r="J139" s="321" t="s">
        <v>268</v>
      </c>
      <c r="K139" s="333">
        <f>K137/K61</f>
        <v>14.861651034596241</v>
      </c>
      <c r="L139" s="556" t="s">
        <v>114</v>
      </c>
      <c r="M139" s="334"/>
      <c r="N139" s="334"/>
      <c r="O139" s="560">
        <f>O137/O102</f>
        <v>12.672433016620383</v>
      </c>
      <c r="P139" s="561" t="s">
        <v>114</v>
      </c>
      <c r="Q139" s="564">
        <f>Q137/Q102</f>
        <v>15.603974433564726</v>
      </c>
      <c r="R139" s="565" t="s">
        <v>114</v>
      </c>
      <c r="S139" s="568">
        <f>S137/S102</f>
        <v>15.998979493419101</v>
      </c>
      <c r="T139" s="569" t="s">
        <v>114</v>
      </c>
      <c r="U139" s="572">
        <f>U137/U102</f>
        <v>19.782611132379973</v>
      </c>
      <c r="V139" s="573" t="s">
        <v>114</v>
      </c>
      <c r="W139" s="575">
        <f>W137/W102</f>
        <v>23.324360125974948</v>
      </c>
      <c r="X139" s="335" t="s">
        <v>114</v>
      </c>
      <c r="Y139" s="1"/>
      <c r="Z139" s="1"/>
      <c r="AA139" s="1"/>
      <c r="AB139" s="1"/>
      <c r="AC139" s="1"/>
      <c r="AD139" s="1"/>
      <c r="AE139" s="1"/>
      <c r="AF139" s="1"/>
      <c r="AG139" s="1"/>
      <c r="AH139" s="1"/>
      <c r="AI139" s="6"/>
      <c r="AJ139" s="6"/>
      <c r="AK139" s="16"/>
      <c r="AL139" s="16"/>
      <c r="AM139" s="17"/>
      <c r="AN139" s="17"/>
      <c r="AO139" s="18"/>
      <c r="AP139" s="18"/>
      <c r="AQ139" s="19"/>
      <c r="AR139" s="19"/>
      <c r="AS139" s="11"/>
      <c r="AT139" s="11"/>
      <c r="AU139" s="1"/>
      <c r="AV139" s="1"/>
      <c r="AW139" s="1"/>
      <c r="AX139" s="1"/>
      <c r="AY139" s="1"/>
      <c r="AZ139" s="1"/>
    </row>
    <row r="140" spans="1:52" s="12" customFormat="1" ht="14.4" customHeight="1" thickBot="1" x14ac:dyDescent="0.35">
      <c r="A140" s="1"/>
      <c r="B140" s="1"/>
      <c r="C140" s="1"/>
      <c r="D140" s="3"/>
      <c r="E140" s="1"/>
      <c r="F140" s="76" t="s">
        <v>33</v>
      </c>
      <c r="G140" s="223"/>
      <c r="H140" s="223"/>
      <c r="I140" s="223"/>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row>
    <row r="141" spans="1:52" s="12" customFormat="1" ht="14.4" customHeight="1" x14ac:dyDescent="0.3">
      <c r="A141" s="1"/>
      <c r="B141" s="1"/>
      <c r="C141" s="1"/>
      <c r="D141" s="3"/>
      <c r="E141" s="1"/>
      <c r="F141" s="336"/>
      <c r="G141" s="1"/>
      <c r="H141" s="336"/>
      <c r="I141" s="336"/>
      <c r="J141" s="337" t="s">
        <v>270</v>
      </c>
      <c r="K141" s="322">
        <f>AH137*(-1)</f>
        <v>40224.624369204932</v>
      </c>
      <c r="L141" s="383"/>
      <c r="M141" s="252"/>
      <c r="N141" s="252"/>
      <c r="O141" s="508">
        <f>AK137*(-1)</f>
        <v>44992.920207347372</v>
      </c>
      <c r="P141" s="389"/>
      <c r="Q141" s="512">
        <f>AM137*(-1)</f>
        <v>57356.328926572285</v>
      </c>
      <c r="R141" s="513"/>
      <c r="S141" s="518">
        <f>AO137*(-1)</f>
        <v>58685.398854610394</v>
      </c>
      <c r="T141" s="421"/>
      <c r="U141" s="521">
        <f>AQ137*(-1)</f>
        <v>70357.439202142399</v>
      </c>
      <c r="V141" s="522"/>
      <c r="W141" s="527">
        <f>AS137*(-1)</f>
        <v>83960.234585830854</v>
      </c>
      <c r="X141" s="328"/>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row>
    <row r="142" spans="1:52" s="12" customFormat="1" ht="14.4" customHeight="1" x14ac:dyDescent="0.3">
      <c r="A142" s="1"/>
      <c r="B142" s="1"/>
      <c r="C142" s="1"/>
      <c r="D142" s="3"/>
      <c r="E142" s="1"/>
      <c r="F142" s="1"/>
      <c r="G142" s="1"/>
      <c r="H142" s="1"/>
      <c r="I142" s="38" t="s">
        <v>263</v>
      </c>
      <c r="J142" s="1225">
        <v>0.01</v>
      </c>
      <c r="K142" s="329">
        <f>J142*K133</f>
        <v>1100</v>
      </c>
      <c r="L142" s="385"/>
      <c r="M142" s="39"/>
      <c r="N142" s="39"/>
      <c r="O142" s="509">
        <f>$J142*O133</f>
        <v>3649.6607087866701</v>
      </c>
      <c r="P142" s="396"/>
      <c r="Q142" s="514">
        <f>J142*Q133</f>
        <v>4493.9446368666404</v>
      </c>
      <c r="R142" s="515"/>
      <c r="S142" s="519">
        <f>J142*S133</f>
        <v>4607.7060941047012</v>
      </c>
      <c r="T142" s="418"/>
      <c r="U142" s="523">
        <f>J142*U133</f>
        <v>5697.392006125433</v>
      </c>
      <c r="V142" s="524"/>
      <c r="W142" s="528">
        <f>J142*W133</f>
        <v>6717.4157162807851</v>
      </c>
      <c r="X142" s="330"/>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row>
    <row r="143" spans="1:52" s="12" customFormat="1" ht="14.4" customHeight="1" thickBot="1" x14ac:dyDescent="0.35">
      <c r="A143" s="1"/>
      <c r="B143" s="1"/>
      <c r="C143" s="1"/>
      <c r="D143" s="3"/>
      <c r="E143" s="1"/>
      <c r="F143" s="1"/>
      <c r="G143" s="1"/>
      <c r="H143" s="1"/>
      <c r="I143" s="38" t="s">
        <v>239</v>
      </c>
      <c r="J143" s="1225">
        <v>5.0000000000000001E-3</v>
      </c>
      <c r="K143" s="338">
        <f>J143*K133</f>
        <v>550</v>
      </c>
      <c r="L143" s="387"/>
      <c r="M143" s="260"/>
      <c r="N143" s="260"/>
      <c r="O143" s="510">
        <f>J143*O133</f>
        <v>1824.830354393335</v>
      </c>
      <c r="P143" s="511"/>
      <c r="Q143" s="516">
        <f>J143*Q133</f>
        <v>2246.9723184333202</v>
      </c>
      <c r="R143" s="517"/>
      <c r="S143" s="520">
        <f>J143*S133</f>
        <v>2303.8530470523506</v>
      </c>
      <c r="T143" s="420"/>
      <c r="U143" s="525">
        <f>U133*J143</f>
        <v>2848.6960030627165</v>
      </c>
      <c r="V143" s="526"/>
      <c r="W143" s="529">
        <f>J143*W133</f>
        <v>3358.7078581403925</v>
      </c>
      <c r="X143" s="339"/>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row>
    <row r="144" spans="1:52" s="12" customFormat="1" ht="14.4" customHeight="1" thickBot="1" x14ac:dyDescent="0.35">
      <c r="A144" s="1"/>
      <c r="B144" s="1"/>
      <c r="C144" s="1"/>
      <c r="D144" s="3"/>
      <c r="E144" s="1"/>
      <c r="F144" s="1"/>
      <c r="G144" s="40"/>
      <c r="H144" s="1"/>
      <c r="I144" s="1" t="s">
        <v>144</v>
      </c>
      <c r="J144" s="1"/>
      <c r="K144" s="22"/>
      <c r="L144" s="22"/>
      <c r="M144" s="39"/>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row>
    <row r="145" spans="1:52" s="12" customFormat="1" ht="14.4" customHeight="1" thickBot="1" x14ac:dyDescent="0.35">
      <c r="A145" s="1"/>
      <c r="B145" s="1"/>
      <c r="C145" s="1"/>
      <c r="D145" s="3"/>
      <c r="E145" s="1"/>
      <c r="F145" s="1"/>
      <c r="G145" s="40"/>
      <c r="H145" s="1"/>
      <c r="I145" s="1"/>
      <c r="J145" s="321" t="s">
        <v>269</v>
      </c>
      <c r="K145" s="340">
        <f>K141+K142+K143</f>
        <v>41874.624369204932</v>
      </c>
      <c r="L145" s="341"/>
      <c r="M145" s="334"/>
      <c r="N145" s="334"/>
      <c r="O145" s="401">
        <f>O141+O142+O143</f>
        <v>50467.41127052738</v>
      </c>
      <c r="P145" s="402"/>
      <c r="Q145" s="394">
        <f>Q141+Q142+Q143</f>
        <v>64097.245881872244</v>
      </c>
      <c r="R145" s="507"/>
      <c r="S145" s="428">
        <f>S141+S142+S143</f>
        <v>65596.957995767443</v>
      </c>
      <c r="T145" s="429"/>
      <c r="U145" s="439">
        <f>U141+U142+U143</f>
        <v>78903.527211330555</v>
      </c>
      <c r="V145" s="440"/>
      <c r="W145" s="446">
        <f>W141+W142+W143</f>
        <v>94036.358160252028</v>
      </c>
      <c r="X145" s="342"/>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row>
    <row r="146" spans="1:52" s="12" customFormat="1" ht="14.4" customHeight="1" thickBot="1" x14ac:dyDescent="0.35">
      <c r="A146" s="1"/>
      <c r="B146" s="1"/>
      <c r="C146" s="1"/>
      <c r="D146" s="3"/>
      <c r="E146" s="1"/>
      <c r="F146" s="1"/>
      <c r="G146" s="1"/>
      <c r="H146" s="1"/>
      <c r="I146" s="1289" t="s">
        <v>291</v>
      </c>
      <c r="J146" s="1290"/>
      <c r="K146" s="957">
        <f>K145/K61</f>
        <v>1.4539800128196156</v>
      </c>
      <c r="L146" s="958">
        <f>K146/K182</f>
        <v>8.2487379045611112E-2</v>
      </c>
      <c r="M146" s="1"/>
      <c r="N146" s="1"/>
      <c r="O146" s="960">
        <f>O145/O61</f>
        <v>1.7523406691155341</v>
      </c>
      <c r="P146" s="1052">
        <f>O146/O181</f>
        <v>9.687734091053668E-2</v>
      </c>
      <c r="Q146" s="960">
        <f>Q145/Q61</f>
        <v>2.2255988153427864</v>
      </c>
      <c r="R146" s="1052">
        <f>Q146/Q181</f>
        <v>0.12096753172090584</v>
      </c>
      <c r="S146" s="960">
        <f>S145/S61</f>
        <v>2.2776721526308141</v>
      </c>
      <c r="T146" s="1052">
        <f>S146/S181</f>
        <v>0.12344846340104766</v>
      </c>
      <c r="U146" s="960">
        <f>U145/U61</f>
        <v>2.7397058059489776</v>
      </c>
      <c r="V146" s="1052">
        <f>U146/U181</f>
        <v>0.14486276443597268</v>
      </c>
      <c r="W146" s="960">
        <f>W145/W61</f>
        <v>3.2651513250087509</v>
      </c>
      <c r="X146" s="1052">
        <f>W146/W181</f>
        <v>0.16797888129102126</v>
      </c>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row>
    <row r="147" spans="1:52" s="12" customFormat="1" ht="14.4" customHeight="1" thickBot="1" x14ac:dyDescent="0.35">
      <c r="A147" s="1"/>
      <c r="B147" s="42" t="s">
        <v>265</v>
      </c>
      <c r="C147" s="1"/>
      <c r="D147" s="3"/>
      <c r="E147" s="1"/>
      <c r="F147" s="1"/>
      <c r="G147" s="40"/>
      <c r="H147" s="1"/>
      <c r="I147" s="1"/>
      <c r="J147" s="38"/>
      <c r="K147" s="530" t="str">
        <f>K55</f>
        <v>Existing Production System</v>
      </c>
      <c r="L147" s="530"/>
      <c r="M147" s="531"/>
      <c r="N147" s="321"/>
      <c r="O147" s="1181" t="str">
        <f>O104</f>
        <v>1. Floor Feeding</v>
      </c>
      <c r="P147" s="1182"/>
      <c r="Q147" s="1183" t="str">
        <f>Q104</f>
        <v xml:space="preserve">2. Short Stalls </v>
      </c>
      <c r="R147" s="1184"/>
      <c r="S147" s="1185" t="str">
        <f>S104</f>
        <v>3. Trickle Feeding</v>
      </c>
      <c r="T147" s="1186"/>
      <c r="U147" s="1187" t="str">
        <f>U104</f>
        <v>4. Elec Sow Feeding</v>
      </c>
      <c r="V147" s="1188"/>
      <c r="W147" s="1189" t="str">
        <f>W104</f>
        <v>5. Free Access Stalls</v>
      </c>
      <c r="X147" s="1190"/>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row>
    <row r="148" spans="1:52" s="12" customFormat="1" ht="14.4" customHeight="1" thickBot="1" x14ac:dyDescent="0.35">
      <c r="A148" s="1"/>
      <c r="B148" s="1"/>
      <c r="C148" s="1"/>
      <c r="D148" s="1"/>
      <c r="E148" s="1"/>
      <c r="F148" s="1"/>
      <c r="G148" s="223"/>
      <c r="H148" s="223"/>
      <c r="I148" s="223"/>
      <c r="J148" s="1119" t="s">
        <v>252</v>
      </c>
      <c r="K148" s="532" t="s">
        <v>72</v>
      </c>
      <c r="L148" s="533"/>
      <c r="M148" s="38"/>
      <c r="N148" s="38"/>
      <c r="O148" s="457" t="s">
        <v>115</v>
      </c>
      <c r="P148" s="458"/>
      <c r="Q148" s="473" t="str">
        <f>O148</f>
        <v>Expected Cost/Sow/Yr</v>
      </c>
      <c r="R148" s="474"/>
      <c r="S148" s="483" t="str">
        <f>O148</f>
        <v>Expected Cost/Sow/Yr</v>
      </c>
      <c r="T148" s="484"/>
      <c r="U148" s="493" t="str">
        <f>O148</f>
        <v>Expected Cost/Sow/Yr</v>
      </c>
      <c r="V148" s="494"/>
      <c r="W148" s="503" t="str">
        <f>O148</f>
        <v>Expected Cost/Sow/Yr</v>
      </c>
      <c r="X148" s="259"/>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1:52" s="12" customFormat="1" ht="14.4" customHeight="1" x14ac:dyDescent="0.3">
      <c r="A149" s="1326" t="s">
        <v>240</v>
      </c>
      <c r="B149" s="1327"/>
      <c r="C149" s="1"/>
      <c r="D149" s="1"/>
      <c r="E149" s="1"/>
      <c r="F149" s="1"/>
      <c r="G149" s="14" t="s">
        <v>16</v>
      </c>
      <c r="H149" s="13"/>
      <c r="I149" s="13"/>
      <c r="J149" s="343">
        <v>70000</v>
      </c>
      <c r="K149" s="534">
        <f>J149/K$58</f>
        <v>58.333333333333336</v>
      </c>
      <c r="L149" s="535" t="s">
        <v>114</v>
      </c>
      <c r="M149" s="252"/>
      <c r="N149" s="252"/>
      <c r="O149" s="459">
        <f>$K149</f>
        <v>58.333333333333336</v>
      </c>
      <c r="P149" s="1054" t="s">
        <v>114</v>
      </c>
      <c r="Q149" s="459">
        <f>$K149</f>
        <v>58.333333333333336</v>
      </c>
      <c r="R149" s="1064" t="s">
        <v>114</v>
      </c>
      <c r="S149" s="459">
        <f>$K149</f>
        <v>58.333333333333336</v>
      </c>
      <c r="T149" s="1071" t="s">
        <v>114</v>
      </c>
      <c r="U149" s="459">
        <f>$K149</f>
        <v>58.333333333333336</v>
      </c>
      <c r="V149" s="1081" t="s">
        <v>114</v>
      </c>
      <c r="W149" s="459">
        <f>$K149</f>
        <v>58.333333333333336</v>
      </c>
      <c r="X149" s="1089" t="s">
        <v>114</v>
      </c>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1:52" s="12" customFormat="1" ht="14.4" customHeight="1" x14ac:dyDescent="0.3">
      <c r="A150" s="1284" t="s">
        <v>250</v>
      </c>
      <c r="B150" s="1285"/>
      <c r="C150" s="1285"/>
      <c r="D150" s="1286"/>
      <c r="E150" s="1"/>
      <c r="F150" s="1"/>
      <c r="G150" s="21" t="s">
        <v>17</v>
      </c>
      <c r="H150" s="22"/>
      <c r="I150" s="22"/>
      <c r="J150" s="327">
        <v>8500</v>
      </c>
      <c r="K150" s="536">
        <f t="shared" ref="K150:K161" si="27">J150/K$58</f>
        <v>7.083333333333333</v>
      </c>
      <c r="L150" s="537" t="s">
        <v>114</v>
      </c>
      <c r="M150" s="39"/>
      <c r="N150" s="39"/>
      <c r="O150" s="461">
        <f t="shared" ref="O150:W164" si="28">$K150</f>
        <v>7.083333333333333</v>
      </c>
      <c r="P150" s="1055" t="s">
        <v>114</v>
      </c>
      <c r="Q150" s="461">
        <f t="shared" si="28"/>
        <v>7.083333333333333</v>
      </c>
      <c r="R150" s="1065" t="s">
        <v>114</v>
      </c>
      <c r="S150" s="461">
        <f t="shared" si="28"/>
        <v>7.083333333333333</v>
      </c>
      <c r="T150" s="1072" t="s">
        <v>114</v>
      </c>
      <c r="U150" s="461">
        <f t="shared" si="28"/>
        <v>7.083333333333333</v>
      </c>
      <c r="V150" s="1082" t="s">
        <v>114</v>
      </c>
      <c r="W150" s="461">
        <f t="shared" si="28"/>
        <v>7.083333333333333</v>
      </c>
      <c r="X150" s="1090" t="s">
        <v>114</v>
      </c>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1:52" s="12" customFormat="1" ht="14.4" customHeight="1" thickBot="1" x14ac:dyDescent="0.35">
      <c r="A151" s="1"/>
      <c r="B151" s="1"/>
      <c r="C151" s="1"/>
      <c r="D151" s="1"/>
      <c r="E151" s="1"/>
      <c r="F151" s="1"/>
      <c r="G151" s="24" t="s">
        <v>50</v>
      </c>
      <c r="H151" s="25"/>
      <c r="I151" s="25"/>
      <c r="J151" s="346">
        <v>0</v>
      </c>
      <c r="K151" s="538">
        <f t="shared" si="27"/>
        <v>0</v>
      </c>
      <c r="L151" s="539" t="s">
        <v>114</v>
      </c>
      <c r="M151" s="260"/>
      <c r="N151" s="260"/>
      <c r="O151" s="463">
        <f t="shared" si="28"/>
        <v>0</v>
      </c>
      <c r="P151" s="1056" t="s">
        <v>114</v>
      </c>
      <c r="Q151" s="463">
        <f t="shared" si="28"/>
        <v>0</v>
      </c>
      <c r="R151" s="1066" t="s">
        <v>114</v>
      </c>
      <c r="S151" s="463">
        <f t="shared" si="28"/>
        <v>0</v>
      </c>
      <c r="T151" s="1073" t="s">
        <v>114</v>
      </c>
      <c r="U151" s="463">
        <f t="shared" si="28"/>
        <v>0</v>
      </c>
      <c r="V151" s="1083" t="s">
        <v>114</v>
      </c>
      <c r="W151" s="463">
        <f t="shared" si="28"/>
        <v>0</v>
      </c>
      <c r="X151" s="1091" t="s">
        <v>114</v>
      </c>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1:52" s="12" customFormat="1" ht="14.4" customHeight="1" x14ac:dyDescent="0.3">
      <c r="A152" s="1291" t="s">
        <v>259</v>
      </c>
      <c r="B152" s="1292"/>
      <c r="C152" s="1292"/>
      <c r="D152" s="1293"/>
      <c r="E152" s="1"/>
      <c r="F152" s="1"/>
      <c r="G152" s="21" t="s">
        <v>18</v>
      </c>
      <c r="H152" s="14"/>
      <c r="I152" s="14"/>
      <c r="J152" s="343">
        <v>3000</v>
      </c>
      <c r="K152" s="534">
        <f t="shared" si="27"/>
        <v>2.5</v>
      </c>
      <c r="L152" s="535" t="s">
        <v>114</v>
      </c>
      <c r="M152" s="252"/>
      <c r="N152" s="252"/>
      <c r="O152" s="459">
        <f t="shared" si="28"/>
        <v>2.5</v>
      </c>
      <c r="P152" s="1054" t="s">
        <v>114</v>
      </c>
      <c r="Q152" s="459">
        <f t="shared" si="28"/>
        <v>2.5</v>
      </c>
      <c r="R152" s="1064" t="s">
        <v>114</v>
      </c>
      <c r="S152" s="459">
        <f t="shared" si="28"/>
        <v>2.5</v>
      </c>
      <c r="T152" s="1071" t="s">
        <v>114</v>
      </c>
      <c r="U152" s="459">
        <f t="shared" si="28"/>
        <v>2.5</v>
      </c>
      <c r="V152" s="1081" t="s">
        <v>114</v>
      </c>
      <c r="W152" s="459">
        <f t="shared" si="28"/>
        <v>2.5</v>
      </c>
      <c r="X152" s="1089" t="s">
        <v>114</v>
      </c>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1:52" s="12" customFormat="1" ht="14.4" customHeight="1" x14ac:dyDescent="0.3">
      <c r="A153" s="1294"/>
      <c r="B153" s="1295"/>
      <c r="C153" s="1295"/>
      <c r="D153" s="1296"/>
      <c r="E153" s="1"/>
      <c r="F153" s="1"/>
      <c r="G153" s="21" t="s">
        <v>288</v>
      </c>
      <c r="H153" s="21"/>
      <c r="I153" s="21"/>
      <c r="J153" s="327">
        <v>0</v>
      </c>
      <c r="K153" s="536">
        <f t="shared" si="27"/>
        <v>0</v>
      </c>
      <c r="L153" s="537" t="s">
        <v>114</v>
      </c>
      <c r="M153" s="39"/>
      <c r="N153" s="39"/>
      <c r="O153" s="461">
        <f t="shared" si="28"/>
        <v>0</v>
      </c>
      <c r="P153" s="1055" t="s">
        <v>114</v>
      </c>
      <c r="Q153" s="461">
        <f t="shared" si="28"/>
        <v>0</v>
      </c>
      <c r="R153" s="1065" t="s">
        <v>114</v>
      </c>
      <c r="S153" s="461">
        <f t="shared" si="28"/>
        <v>0</v>
      </c>
      <c r="T153" s="1072" t="s">
        <v>114</v>
      </c>
      <c r="U153" s="461">
        <f t="shared" si="28"/>
        <v>0</v>
      </c>
      <c r="V153" s="1082" t="s">
        <v>114</v>
      </c>
      <c r="W153" s="461">
        <f t="shared" si="28"/>
        <v>0</v>
      </c>
      <c r="X153" s="1090" t="s">
        <v>114</v>
      </c>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1:52" s="12" customFormat="1" ht="14.4" customHeight="1" thickBot="1" x14ac:dyDescent="0.35">
      <c r="A154" s="1"/>
      <c r="B154" s="1"/>
      <c r="C154" s="1"/>
      <c r="D154" s="3"/>
      <c r="E154" s="1"/>
      <c r="F154" s="1"/>
      <c r="G154" s="24" t="s">
        <v>20</v>
      </c>
      <c r="H154" s="24"/>
      <c r="I154" s="24"/>
      <c r="J154" s="346">
        <v>0</v>
      </c>
      <c r="K154" s="538">
        <f t="shared" si="27"/>
        <v>0</v>
      </c>
      <c r="L154" s="539" t="s">
        <v>114</v>
      </c>
      <c r="M154" s="260"/>
      <c r="N154" s="260"/>
      <c r="O154" s="463">
        <f t="shared" si="28"/>
        <v>0</v>
      </c>
      <c r="P154" s="1056" t="s">
        <v>114</v>
      </c>
      <c r="Q154" s="463">
        <f t="shared" si="28"/>
        <v>0</v>
      </c>
      <c r="R154" s="1066" t="s">
        <v>114</v>
      </c>
      <c r="S154" s="463">
        <f t="shared" si="28"/>
        <v>0</v>
      </c>
      <c r="T154" s="1073" t="s">
        <v>114</v>
      </c>
      <c r="U154" s="463">
        <f t="shared" si="28"/>
        <v>0</v>
      </c>
      <c r="V154" s="1083" t="s">
        <v>114</v>
      </c>
      <c r="W154" s="463">
        <f t="shared" si="28"/>
        <v>0</v>
      </c>
      <c r="X154" s="1091" t="s">
        <v>114</v>
      </c>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52" s="12" customFormat="1" ht="14.4" customHeight="1" x14ac:dyDescent="0.3">
      <c r="A155" s="1"/>
      <c r="B155" s="1"/>
      <c r="C155" s="1"/>
      <c r="D155" s="209"/>
      <c r="E155" s="1"/>
      <c r="F155" s="1"/>
      <c r="G155" s="14"/>
      <c r="H155" s="13" t="s">
        <v>12</v>
      </c>
      <c r="I155" s="13"/>
      <c r="J155" s="343">
        <v>9000</v>
      </c>
      <c r="K155" s="534">
        <f t="shared" si="27"/>
        <v>7.5</v>
      </c>
      <c r="L155" s="535" t="s">
        <v>114</v>
      </c>
      <c r="M155" s="252"/>
      <c r="N155" s="252"/>
      <c r="O155" s="459">
        <f t="shared" si="28"/>
        <v>7.5</v>
      </c>
      <c r="P155" s="1054" t="s">
        <v>114</v>
      </c>
      <c r="Q155" s="459">
        <f t="shared" si="28"/>
        <v>7.5</v>
      </c>
      <c r="R155" s="1064" t="s">
        <v>114</v>
      </c>
      <c r="S155" s="459">
        <f t="shared" si="28"/>
        <v>7.5</v>
      </c>
      <c r="T155" s="1071" t="s">
        <v>114</v>
      </c>
      <c r="U155" s="459">
        <f t="shared" si="28"/>
        <v>7.5</v>
      </c>
      <c r="V155" s="1081" t="s">
        <v>114</v>
      </c>
      <c r="W155" s="459">
        <f t="shared" si="28"/>
        <v>7.5</v>
      </c>
      <c r="X155" s="1089" t="s">
        <v>114</v>
      </c>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1:52" s="12" customFormat="1" ht="14.4" customHeight="1" x14ac:dyDescent="0.3">
      <c r="A156" s="1"/>
      <c r="B156" s="1"/>
      <c r="C156" s="1"/>
      <c r="D156" s="209"/>
      <c r="E156" s="1"/>
      <c r="F156" s="1"/>
      <c r="G156" s="21"/>
      <c r="H156" s="22" t="s">
        <v>21</v>
      </c>
      <c r="I156" s="22"/>
      <c r="J156" s="327">
        <v>2000</v>
      </c>
      <c r="K156" s="536">
        <f t="shared" si="27"/>
        <v>1.6666666666666667</v>
      </c>
      <c r="L156" s="537" t="s">
        <v>114</v>
      </c>
      <c r="M156" s="39"/>
      <c r="N156" s="39"/>
      <c r="O156" s="461">
        <f t="shared" si="28"/>
        <v>1.6666666666666667</v>
      </c>
      <c r="P156" s="1055" t="s">
        <v>114</v>
      </c>
      <c r="Q156" s="461">
        <f t="shared" si="28"/>
        <v>1.6666666666666667</v>
      </c>
      <c r="R156" s="1065" t="s">
        <v>114</v>
      </c>
      <c r="S156" s="461">
        <f t="shared" si="28"/>
        <v>1.6666666666666667</v>
      </c>
      <c r="T156" s="1072" t="s">
        <v>114</v>
      </c>
      <c r="U156" s="461">
        <f t="shared" si="28"/>
        <v>1.6666666666666667</v>
      </c>
      <c r="V156" s="1082" t="s">
        <v>114</v>
      </c>
      <c r="W156" s="461">
        <f t="shared" si="28"/>
        <v>1.6666666666666667</v>
      </c>
      <c r="X156" s="1090" t="s">
        <v>114</v>
      </c>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1:52" s="12" customFormat="1" ht="14.4" customHeight="1" thickBot="1" x14ac:dyDescent="0.35">
      <c r="A157" s="1"/>
      <c r="B157" s="1"/>
      <c r="C157" s="1"/>
      <c r="D157" s="209"/>
      <c r="E157" s="1"/>
      <c r="F157" s="1"/>
      <c r="G157" s="24"/>
      <c r="H157" s="25" t="s">
        <v>22</v>
      </c>
      <c r="I157" s="25"/>
      <c r="J157" s="346">
        <v>0</v>
      </c>
      <c r="K157" s="538">
        <f t="shared" si="27"/>
        <v>0</v>
      </c>
      <c r="L157" s="539" t="s">
        <v>114</v>
      </c>
      <c r="M157" s="260"/>
      <c r="N157" s="260"/>
      <c r="O157" s="463">
        <f t="shared" si="28"/>
        <v>0</v>
      </c>
      <c r="P157" s="1056" t="s">
        <v>114</v>
      </c>
      <c r="Q157" s="463">
        <f t="shared" si="28"/>
        <v>0</v>
      </c>
      <c r="R157" s="1066" t="s">
        <v>114</v>
      </c>
      <c r="S157" s="463">
        <f t="shared" si="28"/>
        <v>0</v>
      </c>
      <c r="T157" s="1073" t="s">
        <v>114</v>
      </c>
      <c r="U157" s="463">
        <f t="shared" si="28"/>
        <v>0</v>
      </c>
      <c r="V157" s="1083" t="s">
        <v>114</v>
      </c>
      <c r="W157" s="463">
        <f t="shared" si="28"/>
        <v>0</v>
      </c>
      <c r="X157" s="1091" t="s">
        <v>114</v>
      </c>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1:52" s="12" customFormat="1" ht="14.4" customHeight="1" x14ac:dyDescent="0.3">
      <c r="A158" s="1"/>
      <c r="B158" s="1"/>
      <c r="C158" s="1"/>
      <c r="D158" s="209"/>
      <c r="E158" s="1"/>
      <c r="F158" s="1"/>
      <c r="G158" s="14"/>
      <c r="H158" s="13" t="s">
        <v>23</v>
      </c>
      <c r="I158" s="13"/>
      <c r="J158" s="343">
        <v>500</v>
      </c>
      <c r="K158" s="534">
        <f t="shared" si="27"/>
        <v>0.41666666666666669</v>
      </c>
      <c r="L158" s="535" t="s">
        <v>114</v>
      </c>
      <c r="M158" s="252"/>
      <c r="N158" s="252"/>
      <c r="O158" s="459">
        <f t="shared" si="28"/>
        <v>0.41666666666666669</v>
      </c>
      <c r="P158" s="1054" t="s">
        <v>114</v>
      </c>
      <c r="Q158" s="459">
        <f t="shared" si="28"/>
        <v>0.41666666666666669</v>
      </c>
      <c r="R158" s="1064" t="s">
        <v>114</v>
      </c>
      <c r="S158" s="459">
        <f t="shared" si="28"/>
        <v>0.41666666666666669</v>
      </c>
      <c r="T158" s="1071" t="s">
        <v>114</v>
      </c>
      <c r="U158" s="459">
        <f t="shared" si="28"/>
        <v>0.41666666666666669</v>
      </c>
      <c r="V158" s="1081" t="s">
        <v>114</v>
      </c>
      <c r="W158" s="459">
        <f t="shared" si="28"/>
        <v>0.41666666666666669</v>
      </c>
      <c r="X158" s="1089" t="s">
        <v>114</v>
      </c>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1:52" s="12" customFormat="1" ht="14.4" customHeight="1" x14ac:dyDescent="0.3">
      <c r="A159" s="1"/>
      <c r="B159" s="1"/>
      <c r="C159" s="1"/>
      <c r="D159" s="209"/>
      <c r="E159" s="1"/>
      <c r="F159" s="1"/>
      <c r="G159" s="21" t="s">
        <v>26</v>
      </c>
      <c r="H159" s="22"/>
      <c r="I159" s="22"/>
      <c r="J159" s="327">
        <v>0</v>
      </c>
      <c r="K159" s="536">
        <f t="shared" si="27"/>
        <v>0</v>
      </c>
      <c r="L159" s="537" t="s">
        <v>114</v>
      </c>
      <c r="M159" s="39"/>
      <c r="N159" s="39"/>
      <c r="O159" s="461">
        <f t="shared" si="28"/>
        <v>0</v>
      </c>
      <c r="P159" s="1055" t="s">
        <v>114</v>
      </c>
      <c r="Q159" s="461">
        <f t="shared" si="28"/>
        <v>0</v>
      </c>
      <c r="R159" s="1065" t="s">
        <v>114</v>
      </c>
      <c r="S159" s="461">
        <f t="shared" si="28"/>
        <v>0</v>
      </c>
      <c r="T159" s="1072" t="s">
        <v>114</v>
      </c>
      <c r="U159" s="461">
        <f t="shared" si="28"/>
        <v>0</v>
      </c>
      <c r="V159" s="1082" t="s">
        <v>114</v>
      </c>
      <c r="W159" s="461">
        <f t="shared" si="28"/>
        <v>0</v>
      </c>
      <c r="X159" s="1090" t="s">
        <v>114</v>
      </c>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1:52" s="12" customFormat="1" ht="14.4" customHeight="1" thickBot="1" x14ac:dyDescent="0.35">
      <c r="A160" s="1"/>
      <c r="B160" s="1"/>
      <c r="C160" s="1"/>
      <c r="D160" s="209"/>
      <c r="E160" s="1"/>
      <c r="F160" s="1"/>
      <c r="G160" s="24"/>
      <c r="H160" s="25" t="s">
        <v>289</v>
      </c>
      <c r="I160" s="25"/>
      <c r="J160" s="346">
        <v>1500</v>
      </c>
      <c r="K160" s="538">
        <f t="shared" si="27"/>
        <v>1.25</v>
      </c>
      <c r="L160" s="539" t="s">
        <v>114</v>
      </c>
      <c r="M160" s="260"/>
      <c r="N160" s="260"/>
      <c r="O160" s="463">
        <f t="shared" si="28"/>
        <v>1.25</v>
      </c>
      <c r="P160" s="1056" t="s">
        <v>114</v>
      </c>
      <c r="Q160" s="463">
        <f t="shared" si="28"/>
        <v>1.25</v>
      </c>
      <c r="R160" s="1066" t="s">
        <v>114</v>
      </c>
      <c r="S160" s="463">
        <f t="shared" si="28"/>
        <v>1.25</v>
      </c>
      <c r="T160" s="1073" t="s">
        <v>114</v>
      </c>
      <c r="U160" s="463">
        <f t="shared" si="28"/>
        <v>1.25</v>
      </c>
      <c r="V160" s="1083" t="s">
        <v>114</v>
      </c>
      <c r="W160" s="463">
        <f t="shared" si="28"/>
        <v>1.25</v>
      </c>
      <c r="X160" s="1091" t="s">
        <v>114</v>
      </c>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52" s="12" customFormat="1" ht="14.4" customHeight="1" x14ac:dyDescent="0.3">
      <c r="A161" s="1"/>
      <c r="B161" s="1"/>
      <c r="C161" s="1"/>
      <c r="D161" s="209"/>
      <c r="E161" s="1"/>
      <c r="F161" s="1"/>
      <c r="G161" s="14"/>
      <c r="H161" s="13" t="s">
        <v>287</v>
      </c>
      <c r="I161" s="13"/>
      <c r="J161" s="343">
        <v>22000</v>
      </c>
      <c r="K161" s="534">
        <f t="shared" si="27"/>
        <v>18.333333333333332</v>
      </c>
      <c r="L161" s="535" t="s">
        <v>114</v>
      </c>
      <c r="M161" s="252"/>
      <c r="N161" s="252"/>
      <c r="O161" s="459">
        <f t="shared" si="28"/>
        <v>18.333333333333332</v>
      </c>
      <c r="P161" s="1054" t="s">
        <v>114</v>
      </c>
      <c r="Q161" s="459">
        <f t="shared" si="28"/>
        <v>18.333333333333332</v>
      </c>
      <c r="R161" s="1064" t="s">
        <v>114</v>
      </c>
      <c r="S161" s="459">
        <f t="shared" si="28"/>
        <v>18.333333333333332</v>
      </c>
      <c r="T161" s="1071" t="s">
        <v>114</v>
      </c>
      <c r="U161" s="459">
        <f t="shared" si="28"/>
        <v>18.333333333333332</v>
      </c>
      <c r="V161" s="1081" t="s">
        <v>114</v>
      </c>
      <c r="W161" s="459">
        <f t="shared" si="28"/>
        <v>18.333333333333332</v>
      </c>
      <c r="X161" s="1089" t="s">
        <v>114</v>
      </c>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1:52" s="12" customFormat="1" ht="14.4" customHeight="1" x14ac:dyDescent="0.3">
      <c r="A162" s="1"/>
      <c r="B162" s="1"/>
      <c r="C162" s="1"/>
      <c r="D162" s="209"/>
      <c r="E162" s="214"/>
      <c r="F162" s="1"/>
      <c r="G162" s="21" t="s">
        <v>179</v>
      </c>
      <c r="H162" s="22"/>
      <c r="I162" s="22"/>
      <c r="J162" s="22"/>
      <c r="K162" s="536">
        <f>L162*J136</f>
        <v>135</v>
      </c>
      <c r="L162" s="348">
        <v>0.45</v>
      </c>
      <c r="M162" s="39"/>
      <c r="N162" s="39"/>
      <c r="O162" s="465">
        <f>P162*$J136</f>
        <v>135</v>
      </c>
      <c r="P162" s="1130">
        <v>0.45</v>
      </c>
      <c r="Q162" s="478">
        <f>R162*$J136</f>
        <v>135</v>
      </c>
      <c r="R162" s="1130">
        <f>L162</f>
        <v>0.45</v>
      </c>
      <c r="S162" s="488">
        <f>T162*$J136</f>
        <v>135</v>
      </c>
      <c r="T162" s="1130">
        <f>L162</f>
        <v>0.45</v>
      </c>
      <c r="U162" s="498">
        <f>V162*$J136</f>
        <v>135</v>
      </c>
      <c r="V162" s="1130">
        <f>L162</f>
        <v>0.45</v>
      </c>
      <c r="W162" s="504">
        <f>X162*$J136</f>
        <v>135</v>
      </c>
      <c r="X162" s="1131">
        <f>L162</f>
        <v>0.45</v>
      </c>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1:52" s="12" customFormat="1" ht="14.4" customHeight="1" thickBot="1" x14ac:dyDescent="0.35">
      <c r="A163" s="1"/>
      <c r="B163" s="1"/>
      <c r="C163" s="1"/>
      <c r="D163" s="349"/>
      <c r="E163" s="1"/>
      <c r="F163" s="1"/>
      <c r="G163" s="1351" t="s">
        <v>74</v>
      </c>
      <c r="H163" s="1352"/>
      <c r="I163" s="1353"/>
      <c r="J163" s="350">
        <v>20000</v>
      </c>
      <c r="K163" s="540">
        <f>J163/K$58</f>
        <v>16.666666666666668</v>
      </c>
      <c r="L163" s="537" t="s">
        <v>114</v>
      </c>
      <c r="M163" s="39"/>
      <c r="N163" s="39"/>
      <c r="O163" s="467">
        <f t="shared" si="28"/>
        <v>16.666666666666668</v>
      </c>
      <c r="P163" s="1055" t="s">
        <v>114</v>
      </c>
      <c r="Q163" s="467">
        <f t="shared" si="28"/>
        <v>16.666666666666668</v>
      </c>
      <c r="R163" s="1065" t="s">
        <v>114</v>
      </c>
      <c r="S163" s="467">
        <f t="shared" si="28"/>
        <v>16.666666666666668</v>
      </c>
      <c r="T163" s="1072" t="s">
        <v>114</v>
      </c>
      <c r="U163" s="467">
        <f t="shared" si="28"/>
        <v>16.666666666666668</v>
      </c>
      <c r="V163" s="1082" t="s">
        <v>114</v>
      </c>
      <c r="W163" s="467">
        <f t="shared" si="28"/>
        <v>16.666666666666668</v>
      </c>
      <c r="X163" s="1090" t="s">
        <v>114</v>
      </c>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1:52" s="12" customFormat="1" ht="14.4" customHeight="1" thickBot="1" x14ac:dyDescent="0.35">
      <c r="A164" s="1"/>
      <c r="B164" s="1"/>
      <c r="C164" s="1"/>
      <c r="D164" s="349"/>
      <c r="E164" s="1"/>
      <c r="F164" s="1"/>
      <c r="G164" s="1348" t="s">
        <v>181</v>
      </c>
      <c r="H164" s="1349"/>
      <c r="I164" s="1350"/>
      <c r="J164" s="351"/>
      <c r="K164" s="541">
        <f>J164/K$58</f>
        <v>0</v>
      </c>
      <c r="L164" s="535" t="s">
        <v>114</v>
      </c>
      <c r="M164" s="252"/>
      <c r="N164" s="252"/>
      <c r="O164" s="468">
        <f t="shared" si="28"/>
        <v>0</v>
      </c>
      <c r="P164" s="1054" t="s">
        <v>114</v>
      </c>
      <c r="Q164" s="468">
        <f t="shared" si="28"/>
        <v>0</v>
      </c>
      <c r="R164" s="1064" t="s">
        <v>114</v>
      </c>
      <c r="S164" s="468">
        <f t="shared" si="28"/>
        <v>0</v>
      </c>
      <c r="T164" s="1071" t="s">
        <v>114</v>
      </c>
      <c r="U164" s="468">
        <f t="shared" si="28"/>
        <v>0</v>
      </c>
      <c r="V164" s="1081" t="s">
        <v>114</v>
      </c>
      <c r="W164" s="468">
        <f t="shared" si="28"/>
        <v>0</v>
      </c>
      <c r="X164" s="1089" t="s">
        <v>114</v>
      </c>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1:52" s="12" customFormat="1" ht="14.4" customHeight="1" thickBot="1" x14ac:dyDescent="0.35">
      <c r="A165" s="1"/>
      <c r="B165" s="1"/>
      <c r="C165" s="1"/>
      <c r="D165" s="209"/>
      <c r="E165" s="1"/>
      <c r="F165" s="1"/>
      <c r="G165" s="295"/>
      <c r="H165" s="352"/>
      <c r="I165" s="352"/>
      <c r="J165" s="334" t="s">
        <v>286</v>
      </c>
      <c r="K165" s="333">
        <f>SUM(K149:K164)</f>
        <v>248.75</v>
      </c>
      <c r="L165" s="542" t="s">
        <v>114</v>
      </c>
      <c r="M165" s="334"/>
      <c r="N165" s="334"/>
      <c r="O165" s="469">
        <f>SUM(O149:O164)</f>
        <v>248.75</v>
      </c>
      <c r="P165" s="1058" t="s">
        <v>114</v>
      </c>
      <c r="Q165" s="479">
        <f>SUM(Q149:Q164)</f>
        <v>248.75</v>
      </c>
      <c r="R165" s="1067" t="s">
        <v>114</v>
      </c>
      <c r="S165" s="489">
        <f>SUM(S149:S164)</f>
        <v>248.75</v>
      </c>
      <c r="T165" s="1074" t="s">
        <v>114</v>
      </c>
      <c r="U165" s="499">
        <f>SUM(U149:U164)</f>
        <v>248.75</v>
      </c>
      <c r="V165" s="1084" t="s">
        <v>114</v>
      </c>
      <c r="W165" s="505">
        <f>SUM(W149:W164)</f>
        <v>248.75</v>
      </c>
      <c r="X165" s="1093" t="s">
        <v>114</v>
      </c>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1:52" s="12" customFormat="1" ht="14.4" customHeight="1" thickBot="1" x14ac:dyDescent="0.35">
      <c r="A166" s="1"/>
      <c r="B166" s="1"/>
      <c r="C166" s="1"/>
      <c r="D166" s="209"/>
      <c r="E166" s="1"/>
      <c r="F166" s="1"/>
      <c r="G166" s="295"/>
      <c r="H166" s="352"/>
      <c r="I166" s="1133"/>
      <c r="J166" s="1134" t="s">
        <v>45</v>
      </c>
      <c r="K166" s="555">
        <f>K165*K74</f>
        <v>263687.89337282482</v>
      </c>
      <c r="L166" s="1135"/>
      <c r="M166" s="334"/>
      <c r="N166" s="334"/>
      <c r="O166" s="1136">
        <f>O165*AK98</f>
        <v>263687.89337282488</v>
      </c>
      <c r="P166" s="1058"/>
      <c r="Q166" s="1137">
        <f>Q165*AM98</f>
        <v>263687.89337282488</v>
      </c>
      <c r="R166" s="1067"/>
      <c r="S166" s="1138">
        <f>S165*AO98</f>
        <v>263687.89337282488</v>
      </c>
      <c r="T166" s="1074"/>
      <c r="U166" s="1139">
        <f>U165*AQ98</f>
        <v>263687.89337282488</v>
      </c>
      <c r="V166" s="1084"/>
      <c r="W166" s="1153">
        <f>W165*AS98</f>
        <v>263687.89337282488</v>
      </c>
      <c r="X166" s="1093"/>
      <c r="Y166" s="40"/>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1:52" s="12" customFormat="1" ht="14.4" customHeight="1" thickBot="1" x14ac:dyDescent="0.35">
      <c r="A167" s="1"/>
      <c r="B167" s="1"/>
      <c r="C167" s="1"/>
      <c r="D167" s="209"/>
      <c r="E167" s="1"/>
      <c r="F167" s="1"/>
      <c r="G167" s="1"/>
      <c r="H167" s="1"/>
      <c r="I167" s="2"/>
      <c r="J167" s="1143" t="s">
        <v>280</v>
      </c>
      <c r="K167" s="1144">
        <f>K166/K61</f>
        <v>9.1558296310008611</v>
      </c>
      <c r="L167" s="1145">
        <f>K167/K182</f>
        <v>0.51942969132348227</v>
      </c>
      <c r="M167" s="1146"/>
      <c r="N167" s="1146"/>
      <c r="O167" s="1147">
        <f>O166/O61</f>
        <v>9.1558296310008647</v>
      </c>
      <c r="P167" s="1148">
        <f>O167/O181</f>
        <v>0.50617579339122409</v>
      </c>
      <c r="Q167" s="1147">
        <f>Q166/Q61</f>
        <v>9.1558296310008647</v>
      </c>
      <c r="R167" s="1148">
        <f>Q167/Q181</f>
        <v>0.49764499499372744</v>
      </c>
      <c r="S167" s="1147">
        <f>S166/S61</f>
        <v>9.1558296310008647</v>
      </c>
      <c r="T167" s="1148">
        <f>S167/S181</f>
        <v>0.49624046981622066</v>
      </c>
      <c r="U167" s="1147">
        <f>U166/U61</f>
        <v>9.1558296310008647</v>
      </c>
      <c r="V167" s="1149">
        <f>U167/U181</f>
        <v>0.48411723192014794</v>
      </c>
      <c r="W167" s="1150">
        <f>W166/W61</f>
        <v>9.1558296310008647</v>
      </c>
      <c r="X167" s="1151">
        <f>W167/W181</f>
        <v>0.47103054824039042</v>
      </c>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1:52" s="12" customFormat="1" ht="14.4" customHeight="1" thickBot="1" x14ac:dyDescent="0.35">
      <c r="A168" s="1"/>
      <c r="B168" s="42" t="s">
        <v>230</v>
      </c>
      <c r="C168" s="1"/>
      <c r="D168" s="209"/>
      <c r="E168" s="1"/>
      <c r="F168" s="1"/>
      <c r="G168" s="1"/>
      <c r="H168" s="1"/>
      <c r="I168" s="1"/>
      <c r="J168" s="1152" t="s">
        <v>37</v>
      </c>
      <c r="K168" s="530" t="str">
        <f>K55</f>
        <v>Existing Production System</v>
      </c>
      <c r="L168" s="530"/>
      <c r="M168" s="530"/>
      <c r="N168" s="1134"/>
      <c r="O168" s="1181" t="str">
        <f>O104</f>
        <v>1. Floor Feeding</v>
      </c>
      <c r="P168" s="1182"/>
      <c r="Q168" s="1183" t="str">
        <f>Q104</f>
        <v xml:space="preserve">2. Short Stalls </v>
      </c>
      <c r="R168" s="1184"/>
      <c r="S168" s="1185" t="str">
        <f>S104</f>
        <v>3. Trickle Feeding</v>
      </c>
      <c r="T168" s="1186"/>
      <c r="U168" s="1187" t="str">
        <f>U104</f>
        <v>4. Elec Sow Feeding</v>
      </c>
      <c r="V168" s="1188"/>
      <c r="W168" s="1189" t="str">
        <f>W104</f>
        <v>5. Free Access Stalls</v>
      </c>
      <c r="X168" s="1190"/>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1:52" s="12" customFormat="1" ht="14.4" customHeight="1" thickBot="1" x14ac:dyDescent="0.35">
      <c r="A169" s="1"/>
      <c r="B169" s="1"/>
      <c r="C169" s="1"/>
      <c r="D169" s="209"/>
      <c r="E169" s="1"/>
      <c r="F169" s="1"/>
      <c r="G169" s="1"/>
      <c r="H169" s="1"/>
      <c r="I169" s="1210"/>
      <c r="J169" s="358" t="s">
        <v>284</v>
      </c>
      <c r="K169" s="382">
        <f>(I29+I32)*I27</f>
        <v>322.43243243243245</v>
      </c>
      <c r="L169" s="557" t="s">
        <v>213</v>
      </c>
      <c r="M169" s="252"/>
      <c r="N169" s="252"/>
      <c r="O169" s="395">
        <f>(AI29+AI32)*AI27</f>
        <v>322.43243243243245</v>
      </c>
      <c r="P169" s="807" t="s">
        <v>213</v>
      </c>
      <c r="Q169" s="403">
        <f>(AK29+AK32)*AK27</f>
        <v>322.43243243243245</v>
      </c>
      <c r="R169" s="809" t="s">
        <v>213</v>
      </c>
      <c r="S169" s="417">
        <f>(AM29+AM32)*AM27</f>
        <v>322.43243243243245</v>
      </c>
      <c r="T169" s="805" t="s">
        <v>213</v>
      </c>
      <c r="U169" s="430">
        <f>(AO29+AO32)*AO27</f>
        <v>322.43243243243245</v>
      </c>
      <c r="V169" s="813" t="s">
        <v>213</v>
      </c>
      <c r="W169" s="441">
        <f>(AQ29+AQ32)*AQ27</f>
        <v>322.43243243243245</v>
      </c>
      <c r="X169" s="816" t="s">
        <v>213</v>
      </c>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1:52" s="12" customFormat="1" ht="14.4" customHeight="1" x14ac:dyDescent="0.3">
      <c r="A170" s="1326" t="s">
        <v>240</v>
      </c>
      <c r="B170" s="1327"/>
      <c r="C170" s="1"/>
      <c r="D170" s="1"/>
      <c r="E170" s="1"/>
      <c r="F170" s="1"/>
      <c r="G170" s="1"/>
      <c r="H170" s="1"/>
      <c r="I170" s="1209"/>
      <c r="J170" s="380" t="s">
        <v>222</v>
      </c>
      <c r="K170" s="384">
        <v>5</v>
      </c>
      <c r="L170" s="551" t="s">
        <v>43</v>
      </c>
      <c r="M170" s="378"/>
      <c r="N170" s="39"/>
      <c r="O170" s="384">
        <f>K170</f>
        <v>5</v>
      </c>
      <c r="P170" s="799" t="s">
        <v>43</v>
      </c>
      <c r="Q170" s="384">
        <f>K170</f>
        <v>5</v>
      </c>
      <c r="R170" s="800" t="s">
        <v>43</v>
      </c>
      <c r="S170" s="384">
        <f>K170</f>
        <v>5</v>
      </c>
      <c r="T170" s="801" t="s">
        <v>43</v>
      </c>
      <c r="U170" s="384">
        <f>K170</f>
        <v>5</v>
      </c>
      <c r="V170" s="803" t="s">
        <v>43</v>
      </c>
      <c r="W170" s="384">
        <f>K170</f>
        <v>5</v>
      </c>
      <c r="X170" s="804" t="s">
        <v>43</v>
      </c>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1:52" s="12" customFormat="1" ht="14.4" customHeight="1" thickBot="1" x14ac:dyDescent="0.35">
      <c r="A171" s="1284" t="s">
        <v>250</v>
      </c>
      <c r="B171" s="1285"/>
      <c r="C171" s="1285"/>
      <c r="D171" s="1286"/>
      <c r="E171" s="1"/>
      <c r="F171" s="1"/>
      <c r="G171" s="1"/>
      <c r="H171" s="1"/>
      <c r="I171" s="360"/>
      <c r="J171" s="381" t="s">
        <v>82</v>
      </c>
      <c r="K171" s="386">
        <f>K169*K170</f>
        <v>1612.1621621621623</v>
      </c>
      <c r="L171" s="552" t="s">
        <v>43</v>
      </c>
      <c r="M171" s="361"/>
      <c r="N171" s="361"/>
      <c r="O171" s="397">
        <f>O170*O169</f>
        <v>1612.1621621621623</v>
      </c>
      <c r="P171" s="398" t="s">
        <v>43</v>
      </c>
      <c r="Q171" s="406">
        <f>Q170*Q169</f>
        <v>1612.1621621621623</v>
      </c>
      <c r="R171" s="407" t="s">
        <v>43</v>
      </c>
      <c r="S171" s="419">
        <f>S170*S169</f>
        <v>1612.1621621621623</v>
      </c>
      <c r="T171" s="802" t="s">
        <v>43</v>
      </c>
      <c r="U171" s="431">
        <f>U170*U169</f>
        <v>1612.1621621621623</v>
      </c>
      <c r="V171" s="432" t="s">
        <v>43</v>
      </c>
      <c r="W171" s="442">
        <f>W170*W169</f>
        <v>1612.1621621621623</v>
      </c>
      <c r="X171" s="362" t="s">
        <v>43</v>
      </c>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1:52" s="12" customFormat="1" ht="14.4" customHeight="1" x14ac:dyDescent="0.3">
      <c r="A172" s="1"/>
      <c r="B172" s="1"/>
      <c r="C172" s="1"/>
      <c r="D172" s="1"/>
      <c r="E172" s="1"/>
      <c r="F172" s="1"/>
      <c r="G172" s="1"/>
      <c r="H172" s="1"/>
      <c r="I172" s="357"/>
      <c r="J172" s="545" t="s">
        <v>35</v>
      </c>
      <c r="K172" s="388">
        <v>7.4999999999999997E-2</v>
      </c>
      <c r="L172" s="557" t="s">
        <v>236</v>
      </c>
      <c r="M172" s="378"/>
      <c r="N172" s="378"/>
      <c r="O172" s="388">
        <v>0.1</v>
      </c>
      <c r="P172" s="808" t="s">
        <v>236</v>
      </c>
      <c r="Q172" s="388">
        <v>7.4999999999999997E-2</v>
      </c>
      <c r="R172" s="810" t="s">
        <v>236</v>
      </c>
      <c r="S172" s="388">
        <v>7.4999999999999997E-2</v>
      </c>
      <c r="T172" s="806" t="s">
        <v>236</v>
      </c>
      <c r="U172" s="388">
        <v>7.4999999999999997E-2</v>
      </c>
      <c r="V172" s="814" t="s">
        <v>236</v>
      </c>
      <c r="W172" s="388">
        <v>7.4999999999999997E-2</v>
      </c>
      <c r="X172" s="817" t="s">
        <v>236</v>
      </c>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1:52" s="12" customFormat="1" ht="14.4" customHeight="1" x14ac:dyDescent="0.3">
      <c r="A173" s="1291" t="s">
        <v>259</v>
      </c>
      <c r="B173" s="1292"/>
      <c r="C173" s="1292"/>
      <c r="D173" s="1293"/>
      <c r="E173" s="1"/>
      <c r="F173" s="1"/>
      <c r="G173" s="1"/>
      <c r="H173" s="1"/>
      <c r="I173" s="359"/>
      <c r="J173" s="546" t="s">
        <v>38</v>
      </c>
      <c r="K173" s="550">
        <f>K171*(1+K172)</f>
        <v>1733.0743243243244</v>
      </c>
      <c r="L173" s="551" t="s">
        <v>43</v>
      </c>
      <c r="M173" s="363"/>
      <c r="N173" s="363"/>
      <c r="O173" s="390">
        <f>O171*(1+O172)</f>
        <v>1773.3783783783788</v>
      </c>
      <c r="P173" s="391" t="s">
        <v>43</v>
      </c>
      <c r="Q173" s="409">
        <f>Q171*(1+Q172)</f>
        <v>1733.0743243243244</v>
      </c>
      <c r="R173" s="410" t="s">
        <v>43</v>
      </c>
      <c r="S173" s="422">
        <f>S171*(1+S172)</f>
        <v>1733.0743243243244</v>
      </c>
      <c r="T173" s="423" t="s">
        <v>43</v>
      </c>
      <c r="U173" s="433">
        <f>U171*(1+U172)</f>
        <v>1733.0743243243244</v>
      </c>
      <c r="V173" s="434" t="s">
        <v>43</v>
      </c>
      <c r="W173" s="443">
        <f>W171*(1+W172)</f>
        <v>1733.0743243243244</v>
      </c>
      <c r="X173" s="364" t="s">
        <v>43</v>
      </c>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1:52" s="12" customFormat="1" ht="14.4" customHeight="1" thickBot="1" x14ac:dyDescent="0.35">
      <c r="A174" s="1294"/>
      <c r="B174" s="1295"/>
      <c r="C174" s="1295"/>
      <c r="D174" s="1296"/>
      <c r="E174" s="1"/>
      <c r="F174" s="1"/>
      <c r="G174" s="1"/>
      <c r="H174" s="1"/>
      <c r="I174" s="360"/>
      <c r="J174" s="547" t="s">
        <v>285</v>
      </c>
      <c r="K174" s="325">
        <f>K173*$I53</f>
        <v>190.63817567567568</v>
      </c>
      <c r="L174" s="552" t="s">
        <v>114</v>
      </c>
      <c r="M174" s="378"/>
      <c r="N174" s="378"/>
      <c r="O174" s="392">
        <f>O173*$I53</f>
        <v>195.07162162162166</v>
      </c>
      <c r="P174" s="393" t="s">
        <v>114</v>
      </c>
      <c r="Q174" s="411">
        <f>Q173*$I53</f>
        <v>190.63817567567568</v>
      </c>
      <c r="R174" s="412" t="s">
        <v>114</v>
      </c>
      <c r="S174" s="424">
        <f>S173*$I53</f>
        <v>190.63817567567568</v>
      </c>
      <c r="T174" s="425" t="s">
        <v>114</v>
      </c>
      <c r="U174" s="435">
        <f>U173*$I53</f>
        <v>190.63817567567568</v>
      </c>
      <c r="V174" s="436" t="s">
        <v>114</v>
      </c>
      <c r="W174" s="444">
        <f>W173*$I53</f>
        <v>190.63817567567568</v>
      </c>
      <c r="X174" s="365" t="s">
        <v>114</v>
      </c>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1:52" s="12" customFormat="1" ht="14.4" customHeight="1" thickBot="1" x14ac:dyDescent="0.35">
      <c r="A175" s="1"/>
      <c r="B175" s="1"/>
      <c r="C175" s="1"/>
      <c r="D175" s="209"/>
      <c r="E175" s="1"/>
      <c r="F175" s="1"/>
      <c r="G175" s="1"/>
      <c r="H175" s="1"/>
      <c r="I175" s="1"/>
      <c r="J175" s="548" t="s">
        <v>283</v>
      </c>
      <c r="K175" s="553">
        <f>K173*K74/2000</f>
        <v>918.57430681329208</v>
      </c>
      <c r="L175" s="554" t="s">
        <v>131</v>
      </c>
      <c r="M175" s="367"/>
      <c r="N175" s="367"/>
      <c r="O175" s="399">
        <f>O173*AK98/2000</f>
        <v>939.93649999499701</v>
      </c>
      <c r="P175" s="400" t="s">
        <v>131</v>
      </c>
      <c r="Q175" s="413">
        <f>Q173*AM98/2000</f>
        <v>918.57430681329231</v>
      </c>
      <c r="R175" s="414" t="s">
        <v>131</v>
      </c>
      <c r="S175" s="426">
        <f>S173*AO98/2000</f>
        <v>918.57430681329231</v>
      </c>
      <c r="T175" s="427" t="s">
        <v>131</v>
      </c>
      <c r="U175" s="437">
        <f>U173*AQ98/2000</f>
        <v>918.57430681329231</v>
      </c>
      <c r="V175" s="438" t="s">
        <v>131</v>
      </c>
      <c r="W175" s="445">
        <f>W173*AS98/2000</f>
        <v>918.57430681329231</v>
      </c>
      <c r="X175" s="368" t="s">
        <v>131</v>
      </c>
      <c r="Y175" s="40"/>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1:52" s="12" customFormat="1" ht="14.4" customHeight="1" thickBot="1" x14ac:dyDescent="0.35">
      <c r="A176" s="1"/>
      <c r="B176" s="1"/>
      <c r="C176" s="1"/>
      <c r="D176" s="1"/>
      <c r="E176" s="1"/>
      <c r="F176" s="1"/>
      <c r="G176" s="1"/>
      <c r="H176" s="1"/>
      <c r="I176" s="1"/>
      <c r="J176" s="943" t="s">
        <v>46</v>
      </c>
      <c r="K176" s="555">
        <f>K175*I53*2000</f>
        <v>202086.34749892427</v>
      </c>
      <c r="L176" s="556"/>
      <c r="M176" s="334"/>
      <c r="N176" s="334"/>
      <c r="O176" s="401">
        <f>O175*$I53*2000</f>
        <v>206786.02999889935</v>
      </c>
      <c r="P176" s="819"/>
      <c r="Q176" s="415">
        <f>Q175*$I53*2000</f>
        <v>202086.34749892433</v>
      </c>
      <c r="R176" s="811"/>
      <c r="S176" s="428">
        <f>S175*$I53*2000</f>
        <v>202086.34749892433</v>
      </c>
      <c r="T176" s="812"/>
      <c r="U176" s="439">
        <f>U175*$I53*2000</f>
        <v>202086.34749892433</v>
      </c>
      <c r="V176" s="815"/>
      <c r="W176" s="446">
        <f>W175*$I53*2000</f>
        <v>202086.34749892433</v>
      </c>
      <c r="X176" s="818"/>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1:52" s="12" customFormat="1" ht="14.4" customHeight="1" thickBot="1" x14ac:dyDescent="0.35">
      <c r="A177" s="1"/>
      <c r="B177" s="1"/>
      <c r="C177" s="1"/>
      <c r="D177" s="1"/>
      <c r="E177" s="1"/>
      <c r="F177" s="1"/>
      <c r="G177" s="1"/>
      <c r="H177" s="1"/>
      <c r="I177" s="1"/>
      <c r="J177" s="944" t="s">
        <v>280</v>
      </c>
      <c r="K177" s="945">
        <f>K176/K61</f>
        <v>7.0168870659348705</v>
      </c>
      <c r="L177" s="946">
        <f>K177/K182</f>
        <v>0.39808292963090658</v>
      </c>
      <c r="M177" s="38"/>
      <c r="N177" s="39"/>
      <c r="O177" s="945">
        <f>O176/O61</f>
        <v>7.1800704860728937</v>
      </c>
      <c r="P177" s="1059">
        <f>O177/O181</f>
        <v>0.39694686569823923</v>
      </c>
      <c r="Q177" s="945">
        <f>Q176/Q61</f>
        <v>7.0168870659348723</v>
      </c>
      <c r="R177" s="1059">
        <f>Q177/Q181</f>
        <v>0.3813874732853666</v>
      </c>
      <c r="S177" s="945">
        <f>S176/S61</f>
        <v>7.0168870659348723</v>
      </c>
      <c r="T177" s="1059">
        <f>S177/S181</f>
        <v>0.38031106678273169</v>
      </c>
      <c r="U177" s="945">
        <f>U176/U61</f>
        <v>7.0168870659348723</v>
      </c>
      <c r="V177" s="1059">
        <f>U177/U181</f>
        <v>0.37102000364387933</v>
      </c>
      <c r="W177" s="945">
        <f>W176/W61</f>
        <v>7.0168870659348723</v>
      </c>
      <c r="X177" s="1059">
        <f>W177/W181</f>
        <v>0.36099057046858846</v>
      </c>
      <c r="Y177" s="38"/>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1:52" s="12" customFormat="1" ht="14.4" customHeight="1" thickBot="1" x14ac:dyDescent="0.35">
      <c r="A178" s="1"/>
      <c r="B178" s="42" t="s">
        <v>231</v>
      </c>
      <c r="C178" s="1"/>
      <c r="D178" s="1"/>
      <c r="E178" s="1"/>
      <c r="F178" s="1"/>
      <c r="G178" s="1"/>
      <c r="H178" s="1"/>
      <c r="I178" s="1"/>
      <c r="J178" s="38"/>
      <c r="K178" s="530" t="str">
        <f>K168</f>
        <v>Existing Production System</v>
      </c>
      <c r="L178" s="530"/>
      <c r="M178" s="531"/>
      <c r="N178" s="370"/>
      <c r="O178" s="1181" t="str">
        <f>O168</f>
        <v>1. Floor Feeding</v>
      </c>
      <c r="P178" s="1182"/>
      <c r="Q178" s="1183" t="str">
        <f>Q168</f>
        <v xml:space="preserve">2. Short Stalls </v>
      </c>
      <c r="R178" s="1184"/>
      <c r="S178" s="1185" t="str">
        <f>S168</f>
        <v>3. Trickle Feeding</v>
      </c>
      <c r="T178" s="1186"/>
      <c r="U178" s="1187" t="str">
        <f>U168</f>
        <v>4. Elec Sow Feeding</v>
      </c>
      <c r="V178" s="1188"/>
      <c r="W178" s="1189" t="str">
        <f>W168</f>
        <v>5. Free Access Stalls</v>
      </c>
      <c r="X178" s="1190"/>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1:52" s="12" customFormat="1" ht="14.4" customHeight="1" x14ac:dyDescent="0.3">
      <c r="A179" s="1"/>
      <c r="B179" s="1"/>
      <c r="C179" s="1"/>
      <c r="D179" s="1"/>
      <c r="G179" s="939"/>
      <c r="H179" s="940">
        <f>K176+K166+K145</f>
        <v>507648.86524095404</v>
      </c>
      <c r="J179" s="966"/>
      <c r="K179" s="966"/>
      <c r="L179" s="967"/>
      <c r="M179" s="968"/>
      <c r="N179" s="1096" t="s">
        <v>290</v>
      </c>
      <c r="O179" s="447">
        <f>O176+O166+O145</f>
        <v>520941.3346422516</v>
      </c>
      <c r="P179" s="709"/>
      <c r="Q179" s="449">
        <f>Q176+Q166+Q145</f>
        <v>529871.48675362149</v>
      </c>
      <c r="R179" s="1068"/>
      <c r="S179" s="451">
        <f>S176+S166+S145</f>
        <v>531371.19886751671</v>
      </c>
      <c r="T179" s="1075"/>
      <c r="U179" s="453">
        <f>U176+U166+U145</f>
        <v>544677.76808307983</v>
      </c>
      <c r="V179" s="1085"/>
      <c r="W179" s="455">
        <f>W176+W166+W145</f>
        <v>559810.59903200122</v>
      </c>
      <c r="X179" s="1094"/>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1:52" s="12" customFormat="1" ht="14.4" customHeight="1" thickBot="1" x14ac:dyDescent="0.35">
      <c r="A180" s="1282" t="s">
        <v>240</v>
      </c>
      <c r="B180" s="1283"/>
      <c r="C180" s="1"/>
      <c r="D180" s="1"/>
      <c r="G180" s="939"/>
      <c r="H180" s="940">
        <f>H179/K58</f>
        <v>423.04072103412835</v>
      </c>
      <c r="J180" s="966"/>
      <c r="K180" s="966"/>
      <c r="L180" s="969"/>
      <c r="M180" s="970"/>
      <c r="N180" s="1096" t="s">
        <v>278</v>
      </c>
      <c r="O180" s="448">
        <f>O179/AK98</f>
        <v>491.43005897901708</v>
      </c>
      <c r="P180" s="1097" t="s">
        <v>114</v>
      </c>
      <c r="Q180" s="450">
        <f>Q179/AM98</f>
        <v>499.85431884658135</v>
      </c>
      <c r="R180" s="927" t="s">
        <v>114</v>
      </c>
      <c r="S180" s="452">
        <f>S179/AO98</f>
        <v>501.26907241588526</v>
      </c>
      <c r="T180" s="928" t="s">
        <v>114</v>
      </c>
      <c r="U180" s="454">
        <f>U179/AQ98</f>
        <v>513.82182578667187</v>
      </c>
      <c r="V180" s="929" t="s">
        <v>114</v>
      </c>
      <c r="W180" s="456">
        <f>W179/AS98</f>
        <v>528.09738334221686</v>
      </c>
      <c r="X180" s="930" t="s">
        <v>114</v>
      </c>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1:52" s="12" customFormat="1" ht="16.05" customHeight="1" thickBot="1" x14ac:dyDescent="0.35">
      <c r="A181" s="1284" t="s">
        <v>250</v>
      </c>
      <c r="B181" s="1285"/>
      <c r="C181" s="1285"/>
      <c r="D181" s="1285"/>
      <c r="E181" s="886"/>
      <c r="J181" s="938"/>
      <c r="K181" s="937"/>
      <c r="L181" s="937"/>
      <c r="M181" s="937"/>
      <c r="N181" s="1095" t="s">
        <v>277</v>
      </c>
      <c r="O181" s="1099">
        <f>O179/O102</f>
        <v>18.088240786189292</v>
      </c>
      <c r="P181" s="1103" t="s">
        <v>114</v>
      </c>
      <c r="Q181" s="1101">
        <f>Q179/Q102</f>
        <v>18.398315512278526</v>
      </c>
      <c r="R181" s="1100" t="s">
        <v>114</v>
      </c>
      <c r="S181" s="971">
        <f>S179/S102</f>
        <v>18.450388849566551</v>
      </c>
      <c r="T181" s="924" t="s">
        <v>114</v>
      </c>
      <c r="U181" s="972">
        <f>U179/U102</f>
        <v>18.912422502884716</v>
      </c>
      <c r="V181" s="925" t="s">
        <v>114</v>
      </c>
      <c r="W181" s="973">
        <f>W179/W102</f>
        <v>19.437868021944485</v>
      </c>
      <c r="X181" s="926" t="s">
        <v>114</v>
      </c>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1:52" s="12" customFormat="1" ht="16.05" customHeight="1" thickBot="1" x14ac:dyDescent="0.35">
      <c r="A182" s="1"/>
      <c r="B182" s="1"/>
      <c r="C182" s="1"/>
      <c r="G182" s="933"/>
      <c r="H182" s="933"/>
      <c r="I182" s="934"/>
      <c r="J182" s="935" t="s">
        <v>292</v>
      </c>
      <c r="K182" s="941">
        <f>H179/K61</f>
        <v>17.626696709755347</v>
      </c>
      <c r="L182" s="936" t="s">
        <v>114</v>
      </c>
      <c r="M182" s="1110"/>
      <c r="N182" s="1110"/>
      <c r="O182" s="1105">
        <f>O181+$K146</f>
        <v>19.542220799008909</v>
      </c>
      <c r="P182" s="1106" t="s">
        <v>114</v>
      </c>
      <c r="Q182" s="1105">
        <f>Q181+$K146</f>
        <v>19.852295525098143</v>
      </c>
      <c r="R182" s="1107" t="s">
        <v>114</v>
      </c>
      <c r="S182" s="1108">
        <f>S181+$K146</f>
        <v>19.904368862386168</v>
      </c>
      <c r="T182" s="1109" t="s">
        <v>114</v>
      </c>
      <c r="U182" s="1108">
        <f>U181+$K146</f>
        <v>20.366402515704333</v>
      </c>
      <c r="V182" s="1109" t="s">
        <v>114</v>
      </c>
      <c r="W182" s="1108">
        <f>W181+$K146</f>
        <v>20.891848034764102</v>
      </c>
      <c r="X182" s="1109" t="s">
        <v>114</v>
      </c>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1:52" s="12" customFormat="1" ht="16.05" customHeight="1" thickBot="1" x14ac:dyDescent="0.35">
      <c r="A183" s="1"/>
      <c r="B183" s="1"/>
      <c r="C183" s="1"/>
      <c r="G183" s="931"/>
      <c r="H183" s="932"/>
      <c r="I183" s="932"/>
      <c r="J183" s="932"/>
      <c r="K183" s="932"/>
      <c r="L183" s="932"/>
      <c r="M183" s="932"/>
      <c r="N183" s="1116" t="s">
        <v>279</v>
      </c>
      <c r="O183" s="1115">
        <f>O182-K182</f>
        <v>1.9155240892535623</v>
      </c>
      <c r="P183" s="1098" t="s">
        <v>114</v>
      </c>
      <c r="Q183" s="1101">
        <f>Q182-K182</f>
        <v>2.2255988153427957</v>
      </c>
      <c r="R183" s="1100" t="s">
        <v>114</v>
      </c>
      <c r="S183" s="1102">
        <f>S182-K182</f>
        <v>2.2776721526308208</v>
      </c>
      <c r="T183" s="924" t="s">
        <v>114</v>
      </c>
      <c r="U183" s="972">
        <f>U182-K182</f>
        <v>2.7397058059489865</v>
      </c>
      <c r="V183" s="925" t="s">
        <v>114</v>
      </c>
      <c r="W183" s="973">
        <f>W182-K182</f>
        <v>3.2651513250087554</v>
      </c>
      <c r="X183" s="926" t="s">
        <v>114</v>
      </c>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1:52" s="12" customFormat="1" ht="14.4" customHeight="1" x14ac:dyDescent="0.3">
      <c r="A184" s="1"/>
      <c r="B184" s="1"/>
      <c r="C184" s="1"/>
      <c r="D184" s="1"/>
      <c r="E184" s="1"/>
      <c r="F184" s="1" t="s">
        <v>293</v>
      </c>
      <c r="G184" s="1"/>
      <c r="H184" s="1"/>
      <c r="K184" s="1"/>
      <c r="L184" s="1"/>
      <c r="M184" s="1"/>
      <c r="N184" s="1"/>
      <c r="O184" s="213"/>
      <c r="P184" s="213"/>
      <c r="Q184" s="213"/>
      <c r="R184" s="213"/>
      <c r="S184" s="1118">
        <f>K146</f>
        <v>1.4539800128196156</v>
      </c>
      <c r="T184" s="1"/>
      <c r="U184" s="1"/>
      <c r="V184" s="1"/>
      <c r="W184" s="1"/>
      <c r="X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1:52" s="12" customFormat="1" ht="14.4" customHeight="1" x14ac:dyDescent="0.3">
      <c r="A185" s="1"/>
      <c r="B185" s="1"/>
      <c r="C185" s="1"/>
      <c r="D185" s="1"/>
      <c r="E185" s="1"/>
      <c r="F185" s="1229"/>
      <c r="G185" s="1229"/>
      <c r="H185" s="1229"/>
      <c r="I185" s="1229"/>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1:52" s="12" customFormat="1" ht="14.4" customHeight="1" x14ac:dyDescent="0.3">
      <c r="A186" s="1"/>
      <c r="B186" s="1"/>
      <c r="C186" s="1"/>
      <c r="D186" s="1"/>
      <c r="E186" s="1"/>
      <c r="F186" s="371"/>
      <c r="G186" s="371"/>
      <c r="H186" s="371"/>
      <c r="I186" s="1229"/>
      <c r="J186" s="1232"/>
      <c r="K186" s="1262"/>
      <c r="L186" s="1232"/>
      <c r="M186" s="1231"/>
      <c r="N186" s="1263" t="s">
        <v>299</v>
      </c>
      <c r="O186" s="1241">
        <f>O137</f>
        <v>364966.07087866706</v>
      </c>
      <c r="P186" s="1242"/>
      <c r="Q186" s="1243">
        <f>Q137</f>
        <v>449394.46368666412</v>
      </c>
      <c r="R186" s="1244"/>
      <c r="S186" s="1245">
        <f>S137</f>
        <v>460770.60941047012</v>
      </c>
      <c r="T186" s="1246"/>
      <c r="U186" s="1247">
        <f>U137</f>
        <v>569739.20061254327</v>
      </c>
      <c r="V186" s="1248"/>
      <c r="W186" s="1249">
        <f>W137</f>
        <v>671741.57162807847</v>
      </c>
      <c r="X186" s="1250"/>
      <c r="Y186" s="37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1:52" s="12" customFormat="1" ht="14.4" customHeight="1" x14ac:dyDescent="0.3">
      <c r="A187" s="1"/>
      <c r="B187" s="1"/>
      <c r="C187" s="1"/>
      <c r="D187" s="1"/>
      <c r="E187" s="1"/>
      <c r="F187" s="371"/>
      <c r="G187" s="371"/>
      <c r="H187" s="371"/>
      <c r="I187" s="1229"/>
      <c r="J187" s="1230" t="s">
        <v>296</v>
      </c>
      <c r="K187" s="1359">
        <v>7</v>
      </c>
      <c r="L187" s="1229"/>
      <c r="M187" s="1229"/>
      <c r="N187" s="1230" t="s">
        <v>298</v>
      </c>
      <c r="O187" s="1241">
        <f>PMT($K188,$K187,O186,0,0)*-1</f>
        <v>63073.370108263509</v>
      </c>
      <c r="P187" s="1242"/>
      <c r="Q187" s="1243">
        <f>PMT($K188,$K187,Q186,0,0)*-1</f>
        <v>77664.269625043555</v>
      </c>
      <c r="R187" s="1244"/>
      <c r="S187" s="1245">
        <f>PMT($K188,$K187,S186,0,0)*-1</f>
        <v>79630.293063648889</v>
      </c>
      <c r="T187" s="1246"/>
      <c r="U187" s="1247">
        <f>PMT($K188,$K187,U186,0,0)*-1</f>
        <v>98462.225211526165</v>
      </c>
      <c r="V187" s="1248"/>
      <c r="W187" s="1249">
        <f>PMT($K188,$K187,W186,0,0)*-1</f>
        <v>116090.25645150989</v>
      </c>
      <c r="X187" s="1250"/>
      <c r="Y187" s="37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1:52" s="12" customFormat="1" ht="14.4" customHeight="1" x14ac:dyDescent="0.3">
      <c r="A188" s="1"/>
      <c r="B188" s="1"/>
      <c r="C188" s="1"/>
      <c r="D188" s="1"/>
      <c r="E188" s="1"/>
      <c r="F188" s="1"/>
      <c r="G188" s="1"/>
      <c r="H188" s="1"/>
      <c r="I188" s="1"/>
      <c r="J188" s="1234" t="s">
        <v>297</v>
      </c>
      <c r="K188" s="1360">
        <v>0.05</v>
      </c>
      <c r="L188" s="1229"/>
      <c r="M188" s="1229"/>
      <c r="N188" s="1230" t="s">
        <v>280</v>
      </c>
      <c r="O188" s="1251">
        <f>O187/O102</f>
        <v>2.1900475732035942</v>
      </c>
      <c r="P188" s="1236" t="s">
        <v>114</v>
      </c>
      <c r="Q188" s="1252">
        <f>Q187/Q102</f>
        <v>2.6966760286473455</v>
      </c>
      <c r="R188" s="1237" t="s">
        <v>114</v>
      </c>
      <c r="S188" s="1253">
        <f>S187/S102</f>
        <v>2.7649407313766976</v>
      </c>
      <c r="T188" s="1238" t="s">
        <v>114</v>
      </c>
      <c r="U188" s="1254">
        <f>U187/U102</f>
        <v>3.4188272642891029</v>
      </c>
      <c r="V188" s="1239" t="s">
        <v>114</v>
      </c>
      <c r="W188" s="1255">
        <f>W187/W102</f>
        <v>4.0309116823440938</v>
      </c>
      <c r="X188" s="1240" t="s">
        <v>114</v>
      </c>
      <c r="Y188" s="37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1:52" s="12" customFormat="1" ht="14.4" customHeight="1" x14ac:dyDescent="0.3">
      <c r="N189" s="1"/>
      <c r="AH189" s="1"/>
      <c r="AI189" s="1"/>
      <c r="AJ189" s="1"/>
      <c r="AK189" s="1"/>
      <c r="AL189" s="1"/>
      <c r="AM189" s="1"/>
      <c r="AN189" s="1"/>
      <c r="AO189" s="1"/>
      <c r="AP189" s="1"/>
      <c r="AQ189" s="1"/>
      <c r="AR189" s="1"/>
      <c r="AS189" s="1"/>
      <c r="AT189" s="1"/>
    </row>
    <row r="190" spans="1:52" s="12" customFormat="1" ht="14.4" customHeight="1" x14ac:dyDescent="0.3">
      <c r="AH190" s="1"/>
      <c r="AI190" s="1"/>
      <c r="AJ190" s="1"/>
      <c r="AK190" s="1"/>
      <c r="AL190" s="1"/>
      <c r="AM190" s="1"/>
      <c r="AN190" s="1"/>
      <c r="AO190" s="1"/>
      <c r="AP190" s="1"/>
      <c r="AQ190" s="1"/>
      <c r="AR190" s="1"/>
      <c r="AS190" s="1"/>
      <c r="AT190" s="1"/>
    </row>
    <row r="191" spans="1:52" s="12" customFormat="1" ht="14.4" customHeight="1" x14ac:dyDescent="0.3"/>
    <row r="192" spans="1:52" s="12" customFormat="1" ht="14.4" customHeight="1" x14ac:dyDescent="0.3">
      <c r="N192" s="1"/>
    </row>
    <row r="193" spans="14:14" s="12" customFormat="1" ht="14.4" customHeight="1" x14ac:dyDescent="0.3">
      <c r="N193" s="1"/>
    </row>
    <row r="194" spans="14:14" s="12" customFormat="1" x14ac:dyDescent="0.3"/>
    <row r="195" spans="14:14" s="12" customFormat="1" x14ac:dyDescent="0.3"/>
    <row r="196" spans="14:14" s="12" customFormat="1" x14ac:dyDescent="0.3"/>
    <row r="197" spans="14:14" s="12" customFormat="1" x14ac:dyDescent="0.3"/>
    <row r="198" spans="14:14" s="12" customFormat="1" x14ac:dyDescent="0.3"/>
    <row r="199" spans="14:14" s="12" customFormat="1" x14ac:dyDescent="0.3"/>
    <row r="200" spans="14:14" s="12" customFormat="1" x14ac:dyDescent="0.3"/>
  </sheetData>
  <sheetProtection password="9009" sheet="1" objects="1" scenarios="1"/>
  <mergeCells count="53">
    <mergeCell ref="A58:D58"/>
    <mergeCell ref="A29:G29"/>
    <mergeCell ref="A30:G30"/>
    <mergeCell ref="A31:G31"/>
    <mergeCell ref="G164:I164"/>
    <mergeCell ref="G163:I163"/>
    <mergeCell ref="H129:J129"/>
    <mergeCell ref="H132:J132"/>
    <mergeCell ref="H130:J130"/>
    <mergeCell ref="A60:D61"/>
    <mergeCell ref="A95:D96"/>
    <mergeCell ref="A150:D150"/>
    <mergeCell ref="A152:D153"/>
    <mergeCell ref="A78:B78"/>
    <mergeCell ref="A79:D79"/>
    <mergeCell ref="A81:D82"/>
    <mergeCell ref="W56:X56"/>
    <mergeCell ref="H122:J122"/>
    <mergeCell ref="H123:J123"/>
    <mergeCell ref="H124:J124"/>
    <mergeCell ref="J92:S92"/>
    <mergeCell ref="H116:J116"/>
    <mergeCell ref="U56:V56"/>
    <mergeCell ref="S56:T56"/>
    <mergeCell ref="O56:P56"/>
    <mergeCell ref="Q56:R56"/>
    <mergeCell ref="E89:I89"/>
    <mergeCell ref="E90:I91"/>
    <mergeCell ref="A5:B5"/>
    <mergeCell ref="A8:D9"/>
    <mergeCell ref="A57:B57"/>
    <mergeCell ref="A6:D6"/>
    <mergeCell ref="I17:K17"/>
    <mergeCell ref="I18:K18"/>
    <mergeCell ref="A23:G23"/>
    <mergeCell ref="A24:G24"/>
    <mergeCell ref="A25:G25"/>
    <mergeCell ref="A26:G26"/>
    <mergeCell ref="A27:G27"/>
    <mergeCell ref="A28:G28"/>
    <mergeCell ref="A21:B21"/>
    <mergeCell ref="I146:J146"/>
    <mergeCell ref="A180:B180"/>
    <mergeCell ref="A181:D181"/>
    <mergeCell ref="A92:B92"/>
    <mergeCell ref="A149:B149"/>
    <mergeCell ref="A93:D93"/>
    <mergeCell ref="A171:D171"/>
    <mergeCell ref="A173:D174"/>
    <mergeCell ref="A117:B117"/>
    <mergeCell ref="A118:D118"/>
    <mergeCell ref="A120:D121"/>
    <mergeCell ref="A170:B170"/>
  </mergeCells>
  <hyperlinks>
    <hyperlink ref="A23" location="'Advanced Version'!A20" display="Section 1.0 Existing Production System"/>
    <hyperlink ref="A24" location="'Advanced Version'!A41" display="Section 2.0 Financial Information"/>
    <hyperlink ref="A25" location="'Advanced Version'!A44" display="Section 3.0 Gestating Sow Feed "/>
    <hyperlink ref="A22" location="'Advanced Version'!A2" display="Home"/>
    <hyperlink ref="Y18:BA18" location="'Advanced Version'!A20" display="Sec 1.0 Existing Production System"/>
    <hyperlink ref="Y19:BA19" location="'Advanced Version'!A41" display="Sec 2.0 Financial Information"/>
    <hyperlink ref="Y20:BA20" location="'Advanced Version'!A44" display="Sec 3.0 Gestating Sow Feed "/>
    <hyperlink ref="Y21:BA21" location="'Advanced Version'!A55" display="Sec 4.0 Production &amp; Space Information"/>
    <hyperlink ref="Y17:BE17" location="'Advanced Version'!A2" display="Home"/>
    <hyperlink ref="Y18:BE18" location="'Advanced Version'!A20" display="Sec 1.0 Existing Production System"/>
    <hyperlink ref="Y19:BE19" location="'Advanced Version'!A41" display="Sec 2.0 Financial Information"/>
    <hyperlink ref="Y20:BE20" location="'Advanced Version'!A44" display="Sec 3.0 Gestating Sow Feed "/>
    <hyperlink ref="Y21:BE21" location="'Advanced Version'!A55" display="Sec 4.0 Production &amp; Space Information"/>
    <hyperlink ref="Y22:BE22" location="'Advanced Version'!A76" display="Sec 5.0 Alternatives for Existing Building Space"/>
    <hyperlink ref="Y23:BE23" location="'Advanced Version'!A88" display="Sec 6.0 Capital Investment"/>
    <hyperlink ref="Y24:BE24" location="'Advanced Version'!A147" display="Sec 7.0 Breeding &amp; Gestating Direct Operating costs/yr."/>
    <hyperlink ref="Y25:BE25" location="'Advanced Version'!A168" display="Sec 8.0 Gest. Feed Cost/sow/yr."/>
    <hyperlink ref="Y26:BE26" location="'Advanced Version'!A178" display="Sec 9.0 Breeding &amp; Gestation Comparative Cost"/>
    <hyperlink ref="A31" location="'Advanced Version'!A178" display="Section 9.0 Breeding &amp; Gestation Comparative Cost"/>
    <hyperlink ref="A30" location="'Advanced Version'!A168" display="Section 8.0 Gest. Feed Cost/sow/yr."/>
    <hyperlink ref="A29" location="'Advanced Version'!A147" display="Section 7.0 Breeding &amp; Gestating Direct Operating costs/yr."/>
    <hyperlink ref="A28" location="'Advanced Version'!A88" display="Section 6.0 Capital Investment"/>
    <hyperlink ref="A26" location="'Advanced Version'!A55" display="Section 4.0 Production &amp; Space Information"/>
    <hyperlink ref="A27" location="'Advanced Version'!A76" display="Section 5.0 Alternatives for Existing Building Space"/>
    <hyperlink ref="A6" location="'User Manual'!B1" display="User Manual"/>
    <hyperlink ref="A8:A9" location="'Beginning Version'!A1" display="Beginning Spreadsheet"/>
    <hyperlink ref="A8:D9" location="'Beginning Version'!A2" display="Beginning Spreadsheet"/>
    <hyperlink ref="A58" location="'User Manual'!B1" display="User Manual"/>
    <hyperlink ref="A60" location="'Advanced Version'!A2" display="Home"/>
    <hyperlink ref="A79" location="'User Manual'!B1" display="User Manual"/>
    <hyperlink ref="A81" location="'Advanced Version'!A2" display="Home"/>
    <hyperlink ref="A93" location="'User Manual'!B1" display="User Manual"/>
    <hyperlink ref="A95" location="'Advanced Version'!A2" display="Home"/>
    <hyperlink ref="A150" location="'User Manual'!B1" display="User Manual"/>
    <hyperlink ref="A152" location="'Advanced Version'!A2" display="Home"/>
    <hyperlink ref="A171" location="'User Manual'!B1" display="User Manual"/>
    <hyperlink ref="A173" location="'Advanced Version'!A2" display="Home"/>
    <hyperlink ref="A118" location="'User Manual'!B1" display="User Manual"/>
    <hyperlink ref="A120" location="'Advanced Version'!A2" display="Home"/>
    <hyperlink ref="A181" location="'User Manual'!B1" display="User Manual"/>
  </hyperlinks>
  <pageMargins left="0.25" right="0.25" top="0.5" bottom="0.5" header="0.3" footer="0.3"/>
  <pageSetup scale="53" fitToHeight="2" orientation="portrait" r:id="rId1"/>
  <rowBreaks count="1" manualBreakCount="1">
    <brk id="98"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List Box 2">
              <controlPr locked="0" defaultSize="0" autoLine="0" autoPict="0">
                <anchor moveWithCells="1">
                  <from>
                    <xdr:col>9</xdr:col>
                    <xdr:colOff>7620</xdr:colOff>
                    <xdr:row>88</xdr:row>
                    <xdr:rowOff>0</xdr:rowOff>
                  </from>
                  <to>
                    <xdr:col>14</xdr:col>
                    <xdr:colOff>0</xdr:colOff>
                    <xdr:row>91</xdr:row>
                    <xdr:rowOff>7620</xdr:rowOff>
                  </to>
                </anchor>
              </controlPr>
            </control>
          </mc:Choice>
        </mc:AlternateContent>
        <mc:AlternateContent xmlns:mc="http://schemas.openxmlformats.org/markup-compatibility/2006">
          <mc:Choice Requires="x14">
            <control shapeId="5123" r:id="rId5" name="Check Box 3">
              <controlPr locked="0" defaultSize="0" autoFill="0" autoLine="0" autoPict="0" altText="YES">
                <anchor moveWithCells="1">
                  <from>
                    <xdr:col>4</xdr:col>
                    <xdr:colOff>182880</xdr:colOff>
                    <xdr:row>94</xdr:row>
                    <xdr:rowOff>0</xdr:rowOff>
                  </from>
                  <to>
                    <xdr:col>5</xdr:col>
                    <xdr:colOff>15240</xdr:colOff>
                    <xdr:row>95</xdr:row>
                    <xdr:rowOff>7620</xdr:rowOff>
                  </to>
                </anchor>
              </controlPr>
            </control>
          </mc:Choice>
        </mc:AlternateContent>
        <mc:AlternateContent xmlns:mc="http://schemas.openxmlformats.org/markup-compatibility/2006">
          <mc:Choice Requires="x14">
            <control shapeId="5124" r:id="rId6" name="Check Box 4">
              <controlPr locked="0" defaultSize="0" autoFill="0" autoLine="0" autoPict="0" altText="YES">
                <anchor moveWithCells="1">
                  <from>
                    <xdr:col>4</xdr:col>
                    <xdr:colOff>182880</xdr:colOff>
                    <xdr:row>95</xdr:row>
                    <xdr:rowOff>0</xdr:rowOff>
                  </from>
                  <to>
                    <xdr:col>5</xdr:col>
                    <xdr:colOff>7620</xdr:colOff>
                    <xdr:row>96</xdr:row>
                    <xdr:rowOff>7620</xdr:rowOff>
                  </to>
                </anchor>
              </controlPr>
            </control>
          </mc:Choice>
        </mc:AlternateContent>
        <mc:AlternateContent xmlns:mc="http://schemas.openxmlformats.org/markup-compatibility/2006">
          <mc:Choice Requires="x14">
            <control shapeId="5125" r:id="rId7" name="Check Box 5">
              <controlPr locked="0" defaultSize="0" autoFill="0" autoLine="0" autoPict="0" altText="YES">
                <anchor moveWithCells="1">
                  <from>
                    <xdr:col>4</xdr:col>
                    <xdr:colOff>182880</xdr:colOff>
                    <xdr:row>96</xdr:row>
                    <xdr:rowOff>22860</xdr:rowOff>
                  </from>
                  <to>
                    <xdr:col>5</xdr:col>
                    <xdr:colOff>7620</xdr:colOff>
                    <xdr:row>97</xdr:row>
                    <xdr:rowOff>30480</xdr:rowOff>
                  </to>
                </anchor>
              </controlPr>
            </control>
          </mc:Choice>
        </mc:AlternateContent>
        <mc:AlternateContent xmlns:mc="http://schemas.openxmlformats.org/markup-compatibility/2006">
          <mc:Choice Requires="x14">
            <control shapeId="5298" r:id="rId8" name="Check Box 178">
              <controlPr locked="0" defaultSize="0" autoFill="0" autoLine="0" autoPict="0" altText="Use Farm Ration Cost per pound_x000a_">
                <anchor moveWithCells="1">
                  <from>
                    <xdr:col>8</xdr:col>
                    <xdr:colOff>15240</xdr:colOff>
                    <xdr:row>50</xdr:row>
                    <xdr:rowOff>38100</xdr:rowOff>
                  </from>
                  <to>
                    <xdr:col>10</xdr:col>
                    <xdr:colOff>7620</xdr:colOff>
                    <xdr:row>51</xdr:row>
                    <xdr:rowOff>129540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Z200"/>
  <sheetViews>
    <sheetView view="pageBreakPreview" zoomScaleNormal="100" zoomScaleSheetLayoutView="100" workbookViewId="0">
      <selection activeCell="M16" sqref="M16"/>
    </sheetView>
  </sheetViews>
  <sheetFormatPr defaultRowHeight="14.4" x14ac:dyDescent="0.3"/>
  <cols>
    <col min="1" max="4" width="2.77734375" customWidth="1"/>
    <col min="5" max="5" width="9.109375" customWidth="1"/>
    <col min="6" max="8" width="2.77734375" customWidth="1"/>
    <col min="9" max="9" width="11.77734375" customWidth="1"/>
    <col min="10" max="10" width="15.77734375" customWidth="1"/>
    <col min="11" max="11" width="12.77734375" customWidth="1"/>
    <col min="12" max="12" width="4.77734375" customWidth="1"/>
    <col min="13" max="13" width="9.77734375" customWidth="1"/>
    <col min="14" max="14" width="4.77734375" customWidth="1"/>
    <col min="15" max="15" width="12.77734375" customWidth="1"/>
    <col min="16" max="16" width="4.77734375" customWidth="1"/>
    <col min="17" max="17" width="12.77734375" customWidth="1"/>
    <col min="18" max="18" width="4.77734375" customWidth="1"/>
    <col min="19" max="19" width="12.77734375" customWidth="1"/>
    <col min="20" max="20" width="4.77734375" customWidth="1"/>
    <col min="21" max="21" width="12.77734375" customWidth="1"/>
    <col min="22" max="22" width="4.77734375" customWidth="1"/>
    <col min="23" max="23" width="12.77734375" customWidth="1"/>
    <col min="24" max="24" width="4.77734375" customWidth="1"/>
    <col min="25" max="26" width="12.77734375" customWidth="1"/>
    <col min="27" max="33" width="8.88671875" hidden="1" customWidth="1"/>
    <col min="34" max="34" width="12.77734375" hidden="1" customWidth="1"/>
    <col min="35" max="36" width="8.88671875" hidden="1" customWidth="1"/>
    <col min="37" max="37" width="12.77734375" hidden="1" customWidth="1"/>
    <col min="38" max="38" width="2.77734375" hidden="1" customWidth="1"/>
    <col min="39" max="39" width="12.77734375" hidden="1" customWidth="1"/>
    <col min="40" max="40" width="2.77734375" hidden="1" customWidth="1"/>
    <col min="41" max="41" width="12.77734375" hidden="1" customWidth="1"/>
    <col min="42" max="42" width="2.77734375" hidden="1" customWidth="1"/>
    <col min="43" max="43" width="12.77734375" hidden="1" customWidth="1"/>
    <col min="44" max="44" width="2.77734375" hidden="1" customWidth="1"/>
    <col min="45" max="45" width="12.77734375" hidden="1" customWidth="1"/>
    <col min="46" max="46" width="2.77734375" hidden="1" customWidth="1"/>
    <col min="47" max="52" width="8.88671875" hidden="1" customWidth="1"/>
  </cols>
  <sheetData>
    <row r="1" spans="1:52" ht="3" customHeight="1" x14ac:dyDescent="0.3"/>
    <row r="2" spans="1:52" s="12" customFormat="1" ht="21" customHeight="1" x14ac:dyDescent="0.3">
      <c r="A2" s="1"/>
      <c r="B2" s="1"/>
      <c r="C2" s="1"/>
      <c r="D2" s="1"/>
      <c r="E2" s="1"/>
      <c r="F2" s="1"/>
      <c r="G2" s="1"/>
      <c r="H2" s="1"/>
      <c r="I2" s="1"/>
      <c r="J2" s="1"/>
      <c r="K2" s="1"/>
      <c r="L2" s="37"/>
      <c r="M2" s="39"/>
      <c r="N2" s="39"/>
      <c r="O2" s="22"/>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12" customFormat="1" ht="14.4" customHeight="1" x14ac:dyDescent="0.3">
      <c r="A3" s="1"/>
      <c r="B3" s="1"/>
      <c r="C3" s="1"/>
      <c r="D3" s="1"/>
      <c r="E3" s="1"/>
      <c r="F3" s="1"/>
      <c r="G3" s="1"/>
      <c r="H3" s="1"/>
      <c r="I3" s="1"/>
      <c r="J3" s="1"/>
      <c r="K3" s="1"/>
      <c r="L3" s="37"/>
      <c r="M3" s="39"/>
      <c r="N3" s="39"/>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12" customFormat="1" ht="14.4" customHeight="1" x14ac:dyDescent="0.3">
      <c r="A4" s="1"/>
      <c r="B4" s="1"/>
      <c r="C4" s="1"/>
      <c r="D4" s="1"/>
      <c r="E4" s="1"/>
      <c r="F4" s="1"/>
      <c r="G4" s="1"/>
      <c r="H4" s="1"/>
      <c r="I4" s="1"/>
      <c r="J4" s="1"/>
      <c r="K4" s="1"/>
      <c r="L4" s="37"/>
      <c r="M4" s="39"/>
      <c r="N4" s="39"/>
      <c r="O4" s="22"/>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12" customFormat="1" ht="14.4" customHeight="1" x14ac:dyDescent="0.3">
      <c r="A5" s="1"/>
      <c r="B5" s="1"/>
      <c r="C5" s="1"/>
      <c r="D5" s="1"/>
      <c r="E5" s="36"/>
      <c r="F5" s="36" t="s">
        <v>95</v>
      </c>
      <c r="G5" s="1"/>
      <c r="H5" s="1"/>
      <c r="I5" s="1"/>
      <c r="J5" s="1"/>
      <c r="K5" s="1"/>
      <c r="L5" s="37"/>
      <c r="M5" s="39"/>
      <c r="N5" s="39"/>
      <c r="O5" s="22"/>
      <c r="P5" s="1"/>
      <c r="Q5" s="40"/>
      <c r="R5" s="40"/>
      <c r="S5" s="40"/>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12" customFormat="1" ht="14.4" customHeight="1" x14ac:dyDescent="0.3">
      <c r="A6" s="1"/>
      <c r="B6" s="1"/>
      <c r="C6" s="1"/>
      <c r="D6" s="1"/>
      <c r="E6" s="1"/>
      <c r="F6" s="1"/>
      <c r="G6" s="1"/>
      <c r="H6" s="1"/>
      <c r="I6" s="1" t="s">
        <v>141</v>
      </c>
      <c r="J6" s="1" t="s">
        <v>142</v>
      </c>
      <c r="K6" s="1"/>
      <c r="L6" s="37"/>
      <c r="M6" s="39"/>
      <c r="N6" s="39"/>
      <c r="O6" s="22"/>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12" customFormat="1" ht="14.4" customHeight="1" x14ac:dyDescent="0.3">
      <c r="A7" s="1"/>
      <c r="B7" s="1"/>
      <c r="C7" s="1"/>
      <c r="D7" s="1"/>
      <c r="E7" s="1"/>
      <c r="F7" s="1"/>
      <c r="G7" s="1"/>
      <c r="H7" s="1"/>
      <c r="I7" s="1" t="s">
        <v>47</v>
      </c>
      <c r="J7" s="1" t="s">
        <v>143</v>
      </c>
      <c r="K7" s="1"/>
      <c r="L7" s="37"/>
      <c r="M7" s="39"/>
      <c r="N7" s="39"/>
      <c r="O7" s="22"/>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12" customFormat="1" ht="14.4" customHeight="1" x14ac:dyDescent="0.3">
      <c r="A8" s="1"/>
      <c r="B8" s="1"/>
      <c r="C8" s="1"/>
      <c r="D8" s="1"/>
      <c r="E8" s="1"/>
      <c r="F8" s="1"/>
      <c r="G8" s="1"/>
      <c r="H8" s="1"/>
      <c r="I8" s="1" t="s">
        <v>48</v>
      </c>
      <c r="J8" s="1" t="s">
        <v>192</v>
      </c>
      <c r="K8" s="1"/>
      <c r="L8" s="37"/>
      <c r="M8" s="39"/>
      <c r="N8" s="39"/>
      <c r="O8" s="22"/>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12" customFormat="1" ht="14.4" customHeight="1" x14ac:dyDescent="0.3">
      <c r="A9" s="1"/>
      <c r="B9" s="1"/>
      <c r="C9" s="1"/>
      <c r="D9" s="1"/>
      <c r="E9" s="1"/>
      <c r="F9" s="1"/>
      <c r="G9" s="1"/>
      <c r="H9" s="1"/>
      <c r="I9" s="1" t="s">
        <v>216</v>
      </c>
      <c r="J9" s="1"/>
      <c r="K9" s="1"/>
      <c r="L9" s="37"/>
      <c r="M9" s="39"/>
      <c r="N9" s="39"/>
      <c r="O9" s="22"/>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12" customFormat="1" ht="14.4" customHeight="1" x14ac:dyDescent="0.3">
      <c r="A10" s="1"/>
      <c r="B10" s="1"/>
      <c r="C10" s="1"/>
      <c r="D10" s="1"/>
      <c r="E10" s="1"/>
      <c r="F10" s="1"/>
      <c r="G10" s="1"/>
      <c r="H10" s="1"/>
      <c r="I10" s="1"/>
      <c r="J10" s="1"/>
      <c r="K10" s="1"/>
      <c r="L10" s="37"/>
      <c r="M10" s="39"/>
      <c r="N10" s="39"/>
      <c r="O10" s="22"/>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12" customFormat="1" ht="14.4" customHeight="1" x14ac:dyDescent="0.3">
      <c r="A11" s="1"/>
      <c r="B11" s="1"/>
      <c r="C11" s="1"/>
      <c r="D11" s="1"/>
      <c r="E11" s="1"/>
      <c r="F11" s="1"/>
      <c r="G11" s="1"/>
      <c r="H11" s="1"/>
      <c r="I11" s="1" t="s">
        <v>294</v>
      </c>
      <c r="J11" s="1"/>
      <c r="K11" s="1"/>
      <c r="L11" s="37"/>
      <c r="M11" s="39"/>
      <c r="N11" s="39"/>
      <c r="O11" s="22"/>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12" customFormat="1" ht="14.4" customHeight="1" x14ac:dyDescent="0.3">
      <c r="A12" s="1"/>
      <c r="B12" s="1"/>
      <c r="C12" s="1"/>
      <c r="D12" s="1"/>
      <c r="E12" s="1"/>
      <c r="F12" s="1"/>
      <c r="G12" s="1"/>
      <c r="H12" s="1"/>
      <c r="I12" s="1"/>
      <c r="J12" s="1"/>
      <c r="K12" s="1"/>
      <c r="L12" s="37"/>
      <c r="M12" s="39"/>
      <c r="N12" s="39"/>
      <c r="O12" s="22"/>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12" customFormat="1" ht="14.4" customHeight="1" x14ac:dyDescent="0.3">
      <c r="A13" s="1"/>
      <c r="B13" s="1"/>
      <c r="C13" s="1"/>
      <c r="D13" s="1"/>
      <c r="E13" s="1"/>
      <c r="F13" s="1"/>
      <c r="G13" s="1"/>
      <c r="H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12" customFormat="1" ht="14.4" customHeight="1" x14ac:dyDescent="0.3">
      <c r="A14" s="1"/>
      <c r="B14" s="1"/>
      <c r="C14" s="1"/>
      <c r="D14" s="1"/>
      <c r="E14" s="1"/>
      <c r="F14" s="1"/>
      <c r="G14" s="1"/>
      <c r="H14" s="1"/>
      <c r="I14" s="1224" t="s">
        <v>233</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12" customFormat="1" ht="14.4"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12" customFormat="1" ht="14.4" customHeight="1" x14ac:dyDescent="0.3">
      <c r="A16" s="1"/>
      <c r="B16" s="1"/>
      <c r="C16" s="1"/>
      <c r="D16" s="1"/>
      <c r="E16" s="1"/>
      <c r="G16" s="1"/>
      <c r="H16" s="38" t="s">
        <v>1</v>
      </c>
      <c r="I16" s="4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s="12" customFormat="1" ht="14.4" customHeight="1" x14ac:dyDescent="0.3">
      <c r="A17" s="1"/>
      <c r="B17" s="1"/>
      <c r="C17" s="1"/>
      <c r="D17" s="1"/>
      <c r="E17" s="1"/>
      <c r="G17" s="1"/>
      <c r="H17" s="38" t="s">
        <v>2</v>
      </c>
      <c r="I17" s="1309"/>
      <c r="J17" s="1310"/>
      <c r="K17" s="1311"/>
      <c r="L17" s="37"/>
      <c r="M17" s="39"/>
      <c r="N17" s="39"/>
      <c r="O17" s="22"/>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s="12" customFormat="1" ht="14.4" customHeight="1" x14ac:dyDescent="0.3">
      <c r="A18" s="1"/>
      <c r="B18" s="1"/>
      <c r="C18" s="1"/>
      <c r="D18" s="1"/>
      <c r="E18" s="1"/>
      <c r="G18" s="1"/>
      <c r="H18" s="38" t="s">
        <v>232</v>
      </c>
      <c r="I18" s="1309"/>
      <c r="J18" s="1310"/>
      <c r="K18" s="1311"/>
      <c r="L18" s="37"/>
      <c r="M18" s="39"/>
      <c r="N18" s="39"/>
      <c r="O18" s="22"/>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s="12" customFormat="1" ht="14.4" customHeight="1" x14ac:dyDescent="0.3">
      <c r="A19" s="1"/>
      <c r="B19" s="1"/>
      <c r="C19" s="1"/>
      <c r="D19" s="1"/>
      <c r="E19" s="1"/>
      <c r="F19" s="1"/>
      <c r="G19" s="1"/>
      <c r="H19" s="1"/>
      <c r="J19" s="1"/>
      <c r="K19" s="1"/>
      <c r="L19" s="1"/>
      <c r="M19" s="38"/>
      <c r="N19" s="38"/>
      <c r="Y19" s="22"/>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s="12" customFormat="1" ht="14.4" customHeight="1" x14ac:dyDescent="0.3">
      <c r="A20" s="1"/>
      <c r="B20" s="42" t="s">
        <v>223</v>
      </c>
      <c r="C20" s="1"/>
      <c r="D20" s="43"/>
      <c r="E20" s="43"/>
      <c r="F20" s="43"/>
      <c r="G20" s="43"/>
      <c r="H20" s="1"/>
      <c r="I20" s="1"/>
      <c r="J20" s="1"/>
      <c r="K20" s="1"/>
      <c r="L20" s="37"/>
      <c r="M20" s="38"/>
      <c r="N20" s="38"/>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s="12" customFormat="1" ht="14.4" customHeight="1" x14ac:dyDescent="0.3">
      <c r="A21" s="1"/>
      <c r="B21" s="1"/>
      <c r="C21" s="1"/>
      <c r="D21" s="43"/>
      <c r="E21" s="43"/>
      <c r="F21" s="43"/>
      <c r="G21" s="43"/>
      <c r="H21" s="1" t="s">
        <v>194</v>
      </c>
      <c r="I21" s="44"/>
      <c r="J21" s="45" t="s">
        <v>193</v>
      </c>
      <c r="K21" s="46"/>
      <c r="L21" s="47"/>
      <c r="M21" s="48"/>
      <c r="N21" s="49"/>
      <c r="Y21" s="1"/>
      <c r="Z21" s="1"/>
      <c r="AA21" s="1"/>
      <c r="AB21" s="1"/>
      <c r="AC21" s="1"/>
      <c r="AD21" s="1"/>
      <c r="AE21" s="1"/>
      <c r="AF21" s="1"/>
      <c r="AG21" s="1"/>
      <c r="AH21" s="1"/>
      <c r="AI21" s="50" t="e">
        <f>O58</f>
        <v>#DIV/0!</v>
      </c>
      <c r="AJ21" s="50"/>
      <c r="AK21" s="51" t="e">
        <f>Q58</f>
        <v>#DIV/0!</v>
      </c>
      <c r="AL21" s="51"/>
      <c r="AM21" s="52" t="e">
        <f>S58</f>
        <v>#DIV/0!</v>
      </c>
      <c r="AN21" s="52"/>
      <c r="AO21" s="53" t="e">
        <f>U58</f>
        <v>#DIV/0!</v>
      </c>
      <c r="AP21" s="53"/>
      <c r="AQ21" s="54" t="e">
        <f>W58</f>
        <v>#DIV/0!</v>
      </c>
      <c r="AR21" s="55"/>
      <c r="AS21" s="1"/>
      <c r="AT21" s="1"/>
      <c r="AU21" s="1"/>
      <c r="AV21" s="1"/>
      <c r="AW21" s="1"/>
      <c r="AX21" s="1"/>
      <c r="AY21" s="1"/>
      <c r="AZ21" s="1"/>
    </row>
    <row r="22" spans="1:52" s="12" customFormat="1" ht="14.4" customHeight="1" x14ac:dyDescent="0.3">
      <c r="A22" s="1"/>
      <c r="B22" s="1"/>
      <c r="C22" s="1"/>
      <c r="D22" s="43"/>
      <c r="E22" s="43"/>
      <c r="F22" s="43"/>
      <c r="G22" s="43"/>
      <c r="H22" s="1" t="s">
        <v>195</v>
      </c>
      <c r="I22" s="44"/>
      <c r="J22" s="56" t="s">
        <v>75</v>
      </c>
      <c r="K22" s="22"/>
      <c r="L22" s="57"/>
      <c r="M22" s="39"/>
      <c r="N22" s="58"/>
      <c r="Y22" s="1"/>
      <c r="Z22" s="1"/>
      <c r="AA22" s="1"/>
      <c r="AB22" s="1"/>
      <c r="AC22" s="1"/>
      <c r="AD22" s="1"/>
      <c r="AE22" s="1"/>
      <c r="AF22" s="1"/>
      <c r="AG22" s="1"/>
      <c r="AH22" s="1"/>
      <c r="AI22" s="59">
        <f>O61</f>
        <v>0</v>
      </c>
      <c r="AJ22" s="60"/>
      <c r="AK22" s="61">
        <f>Q61</f>
        <v>0</v>
      </c>
      <c r="AL22" s="62"/>
      <c r="AM22" s="63">
        <f>S61</f>
        <v>0</v>
      </c>
      <c r="AN22" s="64"/>
      <c r="AO22" s="65">
        <f>U61</f>
        <v>0</v>
      </c>
      <c r="AP22" s="66"/>
      <c r="AQ22" s="67">
        <f>W61</f>
        <v>0</v>
      </c>
      <c r="AR22" s="68"/>
      <c r="AS22" s="1"/>
      <c r="AT22" s="1"/>
      <c r="AU22" s="1"/>
      <c r="AV22" s="1"/>
      <c r="AW22" s="1"/>
      <c r="AX22" s="1"/>
      <c r="AY22" s="1"/>
      <c r="AZ22" s="1"/>
    </row>
    <row r="23" spans="1:52" s="12" customFormat="1" ht="14.4" customHeight="1" x14ac:dyDescent="0.3">
      <c r="A23" s="1"/>
      <c r="B23" s="1"/>
      <c r="C23" s="1"/>
      <c r="D23" s="43"/>
      <c r="E23" s="69"/>
      <c r="F23" s="43"/>
      <c r="G23" s="43"/>
      <c r="H23" s="1" t="s">
        <v>196</v>
      </c>
      <c r="I23" s="70"/>
      <c r="J23" s="71" t="s">
        <v>116</v>
      </c>
      <c r="K23" s="72"/>
      <c r="L23" s="73"/>
      <c r="M23" s="74"/>
      <c r="N23" s="75"/>
      <c r="P23" s="76" t="s">
        <v>157</v>
      </c>
      <c r="Y23" s="1"/>
      <c r="Z23" s="1"/>
      <c r="AA23" s="1"/>
      <c r="AB23" s="1"/>
      <c r="AC23" s="1"/>
      <c r="AD23" s="1"/>
      <c r="AE23" s="1"/>
      <c r="AF23" s="1"/>
      <c r="AG23" s="1"/>
      <c r="AH23" s="1"/>
      <c r="AI23" s="77" t="e">
        <f>O63</f>
        <v>#DIV/0!</v>
      </c>
      <c r="AJ23" s="78"/>
      <c r="AK23" s="79" t="e">
        <f>Q63</f>
        <v>#DIV/0!</v>
      </c>
      <c r="AL23" s="80"/>
      <c r="AM23" s="81" t="e">
        <f>S63</f>
        <v>#DIV/0!</v>
      </c>
      <c r="AN23" s="82"/>
      <c r="AO23" s="83" t="e">
        <f>U63</f>
        <v>#DIV/0!</v>
      </c>
      <c r="AP23" s="84"/>
      <c r="AQ23" s="85" t="e">
        <f>W63</f>
        <v>#DIV/0!</v>
      </c>
      <c r="AR23" s="86"/>
      <c r="AS23" s="1"/>
      <c r="AT23" s="1"/>
      <c r="AU23" s="1"/>
      <c r="AV23" s="1"/>
      <c r="AW23" s="1"/>
      <c r="AX23" s="1"/>
      <c r="AY23" s="1"/>
      <c r="AZ23" s="1"/>
    </row>
    <row r="24" spans="1:52" s="12" customFormat="1" ht="14.4" customHeight="1" x14ac:dyDescent="0.3">
      <c r="A24" s="1"/>
      <c r="B24" s="1"/>
      <c r="C24" s="1"/>
      <c r="D24" s="1"/>
      <c r="E24" s="1"/>
      <c r="F24" s="1"/>
      <c r="G24" s="1"/>
      <c r="H24" s="1" t="s">
        <v>197</v>
      </c>
      <c r="I24" s="87" t="e">
        <f>I22/I21</f>
        <v>#DIV/0!</v>
      </c>
      <c r="J24" s="88" t="s">
        <v>100</v>
      </c>
      <c r="K24" s="46"/>
      <c r="L24" s="47"/>
      <c r="M24" s="48"/>
      <c r="N24" s="49"/>
      <c r="P24" s="89" t="s">
        <v>133</v>
      </c>
      <c r="Y24" s="1"/>
      <c r="Z24" s="1"/>
      <c r="AA24" s="1"/>
      <c r="AB24" s="1"/>
      <c r="AC24" s="1"/>
      <c r="AD24" s="1"/>
      <c r="AE24" s="1"/>
      <c r="AF24" s="1"/>
      <c r="AG24" s="1"/>
      <c r="AH24" s="1"/>
      <c r="AI24" s="90">
        <f>O62</f>
        <v>0</v>
      </c>
      <c r="AJ24" s="91"/>
      <c r="AK24" s="92">
        <f>Q62</f>
        <v>0</v>
      </c>
      <c r="AL24" s="93"/>
      <c r="AM24" s="94">
        <f>S62</f>
        <v>0</v>
      </c>
      <c r="AN24" s="95"/>
      <c r="AO24" s="96">
        <f>U62</f>
        <v>0</v>
      </c>
      <c r="AP24" s="97"/>
      <c r="AQ24" s="98">
        <f>W62</f>
        <v>0</v>
      </c>
      <c r="AR24" s="99"/>
      <c r="AS24" s="1"/>
      <c r="AT24" s="1"/>
      <c r="AU24" s="1"/>
      <c r="AV24" s="1"/>
      <c r="AW24" s="1"/>
      <c r="AX24" s="1"/>
      <c r="AY24" s="1"/>
      <c r="AZ24" s="1"/>
    </row>
    <row r="25" spans="1:52" s="12" customFormat="1" ht="14.4" customHeight="1" x14ac:dyDescent="0.3">
      <c r="A25" s="1"/>
      <c r="B25" s="1"/>
      <c r="C25" s="1"/>
      <c r="D25" s="1"/>
      <c r="E25" s="1"/>
      <c r="F25" s="1"/>
      <c r="G25" s="1"/>
      <c r="H25" s="1" t="s">
        <v>198</v>
      </c>
      <c r="I25" s="100" t="e">
        <f>I26/(365/7)</f>
        <v>#DIV/0!</v>
      </c>
      <c r="J25" s="22" t="s">
        <v>67</v>
      </c>
      <c r="K25" s="22"/>
      <c r="L25" s="57"/>
      <c r="M25" s="39"/>
      <c r="N25" s="58"/>
      <c r="P25" s="12" t="s">
        <v>140</v>
      </c>
      <c r="Y25" s="1"/>
      <c r="Z25" s="1"/>
      <c r="AA25" s="1"/>
      <c r="AB25" s="1"/>
      <c r="AC25" s="1"/>
      <c r="AD25" s="1"/>
      <c r="AE25" s="1"/>
      <c r="AF25" s="1"/>
      <c r="AG25" s="1"/>
      <c r="AH25" s="1"/>
      <c r="AI25" s="101" t="e">
        <f>AI26/(365/7)</f>
        <v>#DIV/0!</v>
      </c>
      <c r="AJ25" s="60"/>
      <c r="AK25" s="102" t="e">
        <f>AK26/(365/7)</f>
        <v>#DIV/0!</v>
      </c>
      <c r="AL25" s="62"/>
      <c r="AM25" s="103" t="e">
        <f>AM26/(365/7)</f>
        <v>#DIV/0!</v>
      </c>
      <c r="AN25" s="64"/>
      <c r="AO25" s="104" t="e">
        <f>AO26/(365/7)</f>
        <v>#DIV/0!</v>
      </c>
      <c r="AP25" s="66"/>
      <c r="AQ25" s="105" t="e">
        <f>AQ26/(365/7)</f>
        <v>#DIV/0!</v>
      </c>
      <c r="AR25" s="68"/>
      <c r="AS25" s="1"/>
      <c r="AT25" s="1"/>
      <c r="AU25" s="1"/>
      <c r="AV25" s="1"/>
      <c r="AW25" s="1"/>
      <c r="AX25" s="1"/>
      <c r="AY25" s="1"/>
      <c r="AZ25" s="1"/>
    </row>
    <row r="26" spans="1:52" s="12" customFormat="1" ht="14.4" customHeight="1" x14ac:dyDescent="0.3">
      <c r="A26" s="1"/>
      <c r="B26" s="1"/>
      <c r="C26" s="1"/>
      <c r="D26" s="1"/>
      <c r="E26" s="1"/>
      <c r="F26" s="1"/>
      <c r="G26" s="1"/>
      <c r="H26" s="1" t="s">
        <v>199</v>
      </c>
      <c r="I26" s="106" t="e">
        <f>I22/I23</f>
        <v>#DIV/0!</v>
      </c>
      <c r="J26" s="71" t="s">
        <v>81</v>
      </c>
      <c r="K26" s="72"/>
      <c r="L26" s="73"/>
      <c r="M26" s="74"/>
      <c r="N26" s="75"/>
      <c r="P26" s="12" t="s">
        <v>156</v>
      </c>
      <c r="Y26" s="1"/>
      <c r="Z26" s="1"/>
      <c r="AA26" s="1"/>
      <c r="AB26" s="1"/>
      <c r="AC26" s="1"/>
      <c r="AD26" s="1"/>
      <c r="AE26" s="1"/>
      <c r="AF26" s="1"/>
      <c r="AG26" s="1"/>
      <c r="AH26" s="1"/>
      <c r="AI26" s="107" t="e">
        <f>AI22/AI23</f>
        <v>#DIV/0!</v>
      </c>
      <c r="AJ26" s="78"/>
      <c r="AK26" s="108" t="e">
        <f>AK22/AK23</f>
        <v>#DIV/0!</v>
      </c>
      <c r="AL26" s="80"/>
      <c r="AM26" s="109" t="e">
        <f>AM22/AM23</f>
        <v>#DIV/0!</v>
      </c>
      <c r="AN26" s="82"/>
      <c r="AO26" s="110" t="e">
        <f>AO22/AO23</f>
        <v>#DIV/0!</v>
      </c>
      <c r="AP26" s="84"/>
      <c r="AQ26" s="111" t="e">
        <f>AQ22/AQ23</f>
        <v>#DIV/0!</v>
      </c>
      <c r="AR26" s="86"/>
      <c r="AS26" s="1"/>
      <c r="AT26" s="1"/>
      <c r="AU26" s="1"/>
      <c r="AV26" s="1"/>
      <c r="AW26" s="1"/>
      <c r="AX26" s="1"/>
      <c r="AY26" s="1"/>
      <c r="AZ26" s="1"/>
    </row>
    <row r="27" spans="1:52" s="12" customFormat="1" ht="14.4" customHeight="1" x14ac:dyDescent="0.3">
      <c r="A27" s="1"/>
      <c r="B27" s="1"/>
      <c r="C27" s="1"/>
      <c r="D27" s="1"/>
      <c r="E27" s="1"/>
      <c r="F27" s="1"/>
      <c r="G27" s="1"/>
      <c r="H27" s="1" t="s">
        <v>200</v>
      </c>
      <c r="I27" s="87" t="e">
        <f>I24/I23</f>
        <v>#DIV/0!</v>
      </c>
      <c r="J27" s="46" t="s">
        <v>121</v>
      </c>
      <c r="K27" s="46"/>
      <c r="L27" s="47"/>
      <c r="M27" s="48"/>
      <c r="N27" s="49"/>
      <c r="P27" s="12" t="s">
        <v>255</v>
      </c>
      <c r="Y27" s="1"/>
      <c r="Z27" s="1"/>
      <c r="AA27" s="1"/>
      <c r="AB27" s="1"/>
      <c r="AC27" s="1"/>
      <c r="AD27" s="1"/>
      <c r="AE27" s="1"/>
      <c r="AF27" s="1"/>
      <c r="AG27" s="1"/>
      <c r="AH27" s="1"/>
      <c r="AI27" s="90" t="e">
        <f>AI24/AI23</f>
        <v>#DIV/0!</v>
      </c>
      <c r="AJ27" s="91"/>
      <c r="AK27" s="92" t="e">
        <f>AK24/AK23</f>
        <v>#DIV/0!</v>
      </c>
      <c r="AL27" s="93"/>
      <c r="AM27" s="94" t="e">
        <f>AM24/AM23</f>
        <v>#DIV/0!</v>
      </c>
      <c r="AN27" s="95"/>
      <c r="AO27" s="96" t="e">
        <f>AO24/AO23</f>
        <v>#DIV/0!</v>
      </c>
      <c r="AP27" s="97"/>
      <c r="AQ27" s="98" t="e">
        <f>AQ24/AQ23</f>
        <v>#DIV/0!</v>
      </c>
      <c r="AR27" s="99"/>
      <c r="AS27" s="1"/>
      <c r="AT27" s="1"/>
      <c r="AU27" s="1"/>
      <c r="AV27" s="1"/>
      <c r="AW27" s="1"/>
      <c r="AX27" s="1"/>
      <c r="AY27" s="1"/>
      <c r="AZ27" s="1"/>
    </row>
    <row r="28" spans="1:52" s="12" customFormat="1" ht="14.4" customHeight="1" x14ac:dyDescent="0.3">
      <c r="A28" s="1"/>
      <c r="B28" s="1"/>
      <c r="C28" s="1"/>
      <c r="D28" s="1"/>
      <c r="E28" s="1"/>
      <c r="F28" s="1"/>
      <c r="G28" s="1"/>
      <c r="H28" s="1" t="s">
        <v>201</v>
      </c>
      <c r="I28" s="112"/>
      <c r="J28" s="56" t="s">
        <v>59</v>
      </c>
      <c r="K28" s="22"/>
      <c r="L28" s="57"/>
      <c r="M28" s="39"/>
      <c r="N28" s="58"/>
      <c r="P28" s="113" t="s">
        <v>160</v>
      </c>
      <c r="Q28" s="12" t="s">
        <v>177</v>
      </c>
      <c r="Y28" s="1"/>
      <c r="Z28" s="1"/>
      <c r="AA28" s="1"/>
      <c r="AB28" s="1"/>
      <c r="AC28" s="1"/>
      <c r="AD28" s="1"/>
      <c r="AE28" s="1"/>
      <c r="AF28" s="1"/>
      <c r="AG28" s="1"/>
      <c r="AH28" s="1"/>
      <c r="AI28" s="114">
        <f>$I28</f>
        <v>0</v>
      </c>
      <c r="AJ28" s="60"/>
      <c r="AK28" s="115">
        <f>$I28</f>
        <v>0</v>
      </c>
      <c r="AL28" s="62"/>
      <c r="AM28" s="116">
        <f>$I28</f>
        <v>0</v>
      </c>
      <c r="AN28" s="64"/>
      <c r="AO28" s="117">
        <f>$I28</f>
        <v>0</v>
      </c>
      <c r="AP28" s="66"/>
      <c r="AQ28" s="118">
        <f>$I28</f>
        <v>0</v>
      </c>
      <c r="AR28" s="68"/>
      <c r="AS28" s="1"/>
      <c r="AT28" s="1"/>
      <c r="AU28" s="1"/>
      <c r="AV28" s="1"/>
      <c r="AW28" s="1"/>
      <c r="AX28" s="1"/>
      <c r="AY28" s="1"/>
      <c r="AZ28" s="1"/>
    </row>
    <row r="29" spans="1:52" s="12" customFormat="1" ht="14.4" customHeight="1" x14ac:dyDescent="0.3">
      <c r="A29" s="1"/>
      <c r="B29" s="1"/>
      <c r="C29" s="1"/>
      <c r="D29" s="1"/>
      <c r="E29" s="1"/>
      <c r="F29" s="1"/>
      <c r="G29" s="1"/>
      <c r="H29" s="1" t="s">
        <v>202</v>
      </c>
      <c r="I29" s="44"/>
      <c r="J29" s="71" t="s">
        <v>62</v>
      </c>
      <c r="K29" s="72"/>
      <c r="L29" s="73"/>
      <c r="M29" s="74"/>
      <c r="N29" s="75"/>
      <c r="P29" s="113" t="s">
        <v>161</v>
      </c>
      <c r="Q29" s="12" t="s">
        <v>178</v>
      </c>
      <c r="Y29" s="1"/>
      <c r="Z29" s="1"/>
      <c r="AA29" s="1"/>
      <c r="AB29" s="1"/>
      <c r="AC29" s="1"/>
      <c r="AD29" s="1"/>
      <c r="AE29" s="1"/>
      <c r="AF29" s="1"/>
      <c r="AG29" s="1"/>
      <c r="AH29" s="1"/>
      <c r="AI29" s="119">
        <f>$I29</f>
        <v>0</v>
      </c>
      <c r="AJ29" s="78"/>
      <c r="AK29" s="120">
        <f>$I29</f>
        <v>0</v>
      </c>
      <c r="AL29" s="80"/>
      <c r="AM29" s="121">
        <f>$I29</f>
        <v>0</v>
      </c>
      <c r="AN29" s="82"/>
      <c r="AO29" s="122">
        <f>$I29</f>
        <v>0</v>
      </c>
      <c r="AP29" s="84"/>
      <c r="AQ29" s="123">
        <f>$I29</f>
        <v>0</v>
      </c>
      <c r="AR29" s="86"/>
      <c r="AS29" s="1"/>
      <c r="AT29" s="1"/>
      <c r="AU29" s="1"/>
      <c r="AV29" s="1"/>
      <c r="AW29" s="1"/>
      <c r="AX29" s="1"/>
      <c r="AY29" s="1"/>
      <c r="AZ29" s="1"/>
    </row>
    <row r="30" spans="1:52" s="12" customFormat="1" ht="14.4" customHeight="1" x14ac:dyDescent="0.3">
      <c r="A30" s="1"/>
      <c r="B30" s="1"/>
      <c r="C30" s="1"/>
      <c r="D30" s="1"/>
      <c r="E30" s="1"/>
      <c r="F30" s="1"/>
      <c r="G30" s="1"/>
      <c r="H30" s="1" t="s">
        <v>203</v>
      </c>
      <c r="I30" s="44"/>
      <c r="J30" s="45" t="s">
        <v>57</v>
      </c>
      <c r="K30" s="46"/>
      <c r="L30" s="47"/>
      <c r="M30" s="48"/>
      <c r="N30" s="49"/>
      <c r="P30" s="113" t="s">
        <v>162</v>
      </c>
      <c r="Q30" s="12" t="s">
        <v>152</v>
      </c>
      <c r="Y30" s="1"/>
      <c r="Z30" s="1"/>
      <c r="AA30" s="1"/>
      <c r="AB30" s="1"/>
      <c r="AC30" s="1"/>
      <c r="AD30" s="1"/>
      <c r="AE30" s="1"/>
      <c r="AF30" s="1"/>
      <c r="AG30" s="1"/>
      <c r="AH30" s="1"/>
      <c r="AI30" s="124">
        <f>$I30</f>
        <v>0</v>
      </c>
      <c r="AJ30" s="91"/>
      <c r="AK30" s="125">
        <f>$I30</f>
        <v>0</v>
      </c>
      <c r="AL30" s="93"/>
      <c r="AM30" s="126">
        <f>$I30</f>
        <v>0</v>
      </c>
      <c r="AN30" s="95"/>
      <c r="AO30" s="127">
        <f>$I30</f>
        <v>0</v>
      </c>
      <c r="AP30" s="97"/>
      <c r="AQ30" s="128">
        <f>$I30</f>
        <v>0</v>
      </c>
      <c r="AR30" s="99"/>
      <c r="AS30" s="1"/>
      <c r="AT30" s="1"/>
      <c r="AU30" s="1"/>
      <c r="AV30" s="1"/>
      <c r="AW30" s="1"/>
      <c r="AX30" s="1"/>
      <c r="AY30" s="1"/>
      <c r="AZ30" s="1"/>
    </row>
    <row r="31" spans="1:52" s="12" customFormat="1" ht="14.4" customHeight="1" x14ac:dyDescent="0.3">
      <c r="A31" s="1"/>
      <c r="B31" s="1"/>
      <c r="C31" s="1"/>
      <c r="D31" s="1"/>
      <c r="E31" s="1"/>
      <c r="F31" s="1"/>
      <c r="G31" s="1"/>
      <c r="H31" s="1" t="s">
        <v>204</v>
      </c>
      <c r="I31" s="44"/>
      <c r="J31" s="56" t="s">
        <v>60</v>
      </c>
      <c r="K31" s="22"/>
      <c r="L31" s="57"/>
      <c r="M31" s="39"/>
      <c r="N31" s="58"/>
      <c r="P31" s="113" t="s">
        <v>163</v>
      </c>
      <c r="Q31" s="12" t="s">
        <v>153</v>
      </c>
      <c r="Y31" s="1"/>
      <c r="Z31" s="1"/>
      <c r="AA31" s="1"/>
      <c r="AB31" s="1"/>
      <c r="AC31" s="1"/>
      <c r="AD31" s="1"/>
      <c r="AE31" s="1"/>
      <c r="AF31" s="1"/>
      <c r="AG31" s="1"/>
      <c r="AH31" s="1"/>
      <c r="AI31" s="59">
        <f>O59</f>
        <v>0</v>
      </c>
      <c r="AJ31" s="60"/>
      <c r="AK31" s="61">
        <f>Q59</f>
        <v>0</v>
      </c>
      <c r="AL31" s="62"/>
      <c r="AM31" s="63">
        <f>S59</f>
        <v>0</v>
      </c>
      <c r="AN31" s="64"/>
      <c r="AO31" s="65">
        <f>U59</f>
        <v>0</v>
      </c>
      <c r="AP31" s="66"/>
      <c r="AQ31" s="67">
        <f>W59</f>
        <v>0</v>
      </c>
      <c r="AR31" s="68"/>
      <c r="AS31" s="1"/>
      <c r="AT31" s="1"/>
      <c r="AU31" s="1"/>
      <c r="AV31" s="1"/>
      <c r="AW31" s="1"/>
      <c r="AX31" s="1"/>
      <c r="AY31" s="1"/>
      <c r="AZ31" s="1"/>
    </row>
    <row r="32" spans="1:52" s="12" customFormat="1" ht="14.4" customHeight="1" x14ac:dyDescent="0.3">
      <c r="A32" s="1"/>
      <c r="B32" s="1"/>
      <c r="C32" s="1"/>
      <c r="D32" s="1"/>
      <c r="E32" s="1"/>
      <c r="F32" s="1"/>
      <c r="G32" s="1"/>
      <c r="H32" s="1" t="s">
        <v>205</v>
      </c>
      <c r="I32" s="129" t="e">
        <f>(365/I27)-I29-I30</f>
        <v>#DIV/0!</v>
      </c>
      <c r="J32" s="130" t="s">
        <v>79</v>
      </c>
      <c r="K32" s="131"/>
      <c r="L32" s="132"/>
      <c r="M32" s="133"/>
      <c r="N32" s="75"/>
      <c r="P32" s="113" t="s">
        <v>164</v>
      </c>
      <c r="Q32" s="12" t="s">
        <v>154</v>
      </c>
      <c r="Y32" s="1"/>
      <c r="Z32" s="1"/>
      <c r="AA32" s="1"/>
      <c r="AB32" s="1"/>
      <c r="AC32" s="1"/>
      <c r="AD32" s="1"/>
      <c r="AE32" s="1"/>
      <c r="AF32" s="1"/>
      <c r="AG32" s="1"/>
      <c r="AH32" s="1"/>
      <c r="AI32" s="134" t="e">
        <f>(365/AI27)-AI29-AI30</f>
        <v>#DIV/0!</v>
      </c>
      <c r="AJ32" s="78"/>
      <c r="AK32" s="135" t="e">
        <f>(365/AK27)-AK29-AK30</f>
        <v>#DIV/0!</v>
      </c>
      <c r="AL32" s="80"/>
      <c r="AM32" s="136" t="e">
        <f>(365/AM27)-AM29-AM30</f>
        <v>#DIV/0!</v>
      </c>
      <c r="AN32" s="82"/>
      <c r="AO32" s="137" t="e">
        <f>(365/AO27)-AO29-AO30</f>
        <v>#DIV/0!</v>
      </c>
      <c r="AP32" s="84"/>
      <c r="AQ32" s="138" t="e">
        <f>(365/AQ27)-AQ29-AQ30</f>
        <v>#DIV/0!</v>
      </c>
      <c r="AR32" s="86"/>
      <c r="AS32" s="1"/>
      <c r="AT32" s="1"/>
      <c r="AU32" s="1"/>
      <c r="AV32" s="1"/>
      <c r="AW32" s="1"/>
      <c r="AX32" s="1"/>
      <c r="AY32" s="1"/>
      <c r="AZ32" s="1"/>
    </row>
    <row r="33" spans="1:52" s="12" customFormat="1" ht="14.4" customHeight="1" x14ac:dyDescent="0.3">
      <c r="A33" s="1"/>
      <c r="B33" s="1"/>
      <c r="C33" s="1"/>
      <c r="D33" s="1"/>
      <c r="E33" s="1"/>
      <c r="F33" s="40"/>
      <c r="G33" s="40"/>
      <c r="H33" s="1" t="s">
        <v>206</v>
      </c>
      <c r="I33" s="106" t="e">
        <f>I29+I30+I32</f>
        <v>#DIV/0!</v>
      </c>
      <c r="J33" s="45" t="s">
        <v>58</v>
      </c>
      <c r="K33" s="46"/>
      <c r="L33" s="47"/>
      <c r="M33" s="48"/>
      <c r="N33" s="49"/>
      <c r="P33" s="113" t="s">
        <v>165</v>
      </c>
      <c r="Q33" s="12" t="s">
        <v>256</v>
      </c>
      <c r="Y33" s="1"/>
      <c r="Z33" s="1"/>
      <c r="AA33" s="1"/>
      <c r="AB33" s="1"/>
      <c r="AC33" s="1"/>
      <c r="AD33" s="1"/>
      <c r="AE33" s="1"/>
      <c r="AF33" s="1"/>
      <c r="AG33" s="1"/>
      <c r="AH33" s="1"/>
      <c r="AI33" s="139" t="e">
        <f>AI29+AI30+AI32</f>
        <v>#DIV/0!</v>
      </c>
      <c r="AJ33" s="91"/>
      <c r="AK33" s="140" t="e">
        <f>AK29+AK30+AK32</f>
        <v>#DIV/0!</v>
      </c>
      <c r="AL33" s="93"/>
      <c r="AM33" s="141" t="e">
        <f>AM29+AM30+AM32</f>
        <v>#DIV/0!</v>
      </c>
      <c r="AN33" s="95"/>
      <c r="AO33" s="142" t="e">
        <f>AO29+AO30+AO32</f>
        <v>#DIV/0!</v>
      </c>
      <c r="AP33" s="97"/>
      <c r="AQ33" s="143" t="e">
        <f>AQ29+AQ30+AQ32</f>
        <v>#DIV/0!</v>
      </c>
      <c r="AR33" s="99"/>
      <c r="AS33" s="1"/>
      <c r="AT33" s="1"/>
      <c r="AU33" s="1"/>
      <c r="AV33" s="1"/>
      <c r="AW33" s="1"/>
      <c r="AX33" s="1"/>
      <c r="AY33" s="1"/>
      <c r="AZ33" s="1"/>
    </row>
    <row r="34" spans="1:52" s="12" customFormat="1" ht="14.4" customHeight="1" x14ac:dyDescent="0.3">
      <c r="A34" s="1"/>
      <c r="B34" s="1"/>
      <c r="C34" s="1"/>
      <c r="D34" s="1"/>
      <c r="E34" s="1"/>
      <c r="F34" s="40"/>
      <c r="G34" s="40"/>
      <c r="H34" s="1" t="s">
        <v>207</v>
      </c>
      <c r="I34" s="106" t="e">
        <f>I30/365*I27*I21</f>
        <v>#DIV/0!</v>
      </c>
      <c r="J34" s="56" t="s">
        <v>61</v>
      </c>
      <c r="K34" s="22"/>
      <c r="L34" s="57"/>
      <c r="M34" s="39"/>
      <c r="N34" s="58"/>
      <c r="P34" s="113" t="s">
        <v>166</v>
      </c>
      <c r="Q34" s="12" t="s">
        <v>172</v>
      </c>
      <c r="Y34" s="1"/>
      <c r="Z34" s="1"/>
      <c r="AA34" s="1"/>
      <c r="AB34" s="1"/>
      <c r="AC34" s="1"/>
      <c r="AD34" s="1"/>
      <c r="AE34" s="1"/>
      <c r="AF34" s="1"/>
      <c r="AG34" s="1"/>
      <c r="AH34" s="1"/>
      <c r="AI34" s="144" t="e">
        <f>AI30/365*AI27*AI21</f>
        <v>#DIV/0!</v>
      </c>
      <c r="AJ34" s="60"/>
      <c r="AK34" s="145" t="e">
        <f>AK30/365*AK27*AK21</f>
        <v>#DIV/0!</v>
      </c>
      <c r="AL34" s="62"/>
      <c r="AM34" s="146" t="e">
        <f>AM30/365*AM27*AM21</f>
        <v>#DIV/0!</v>
      </c>
      <c r="AN34" s="64"/>
      <c r="AO34" s="147" t="e">
        <f>AO30/365*AO27*AO21</f>
        <v>#DIV/0!</v>
      </c>
      <c r="AP34" s="66"/>
      <c r="AQ34" s="148" t="e">
        <f>AQ30/365*AQ27*AQ21</f>
        <v>#DIV/0!</v>
      </c>
      <c r="AR34" s="68"/>
      <c r="AS34" s="1"/>
      <c r="AT34" s="1"/>
      <c r="AU34" s="1"/>
      <c r="AV34" s="1"/>
      <c r="AW34" s="1"/>
      <c r="AX34" s="1"/>
      <c r="AY34" s="1"/>
      <c r="AZ34" s="1"/>
    </row>
    <row r="35" spans="1:52" s="12" customFormat="1" ht="14.4" customHeight="1" x14ac:dyDescent="0.3">
      <c r="A35" s="1"/>
      <c r="B35" s="1"/>
      <c r="C35" s="1"/>
      <c r="D35" s="1"/>
      <c r="E35" s="149"/>
      <c r="F35" s="40"/>
      <c r="G35" s="40"/>
      <c r="H35" s="1" t="s">
        <v>208</v>
      </c>
      <c r="I35" s="106" t="e">
        <f>(I33-I30)*I21*I27/365</f>
        <v>#DIV/0!</v>
      </c>
      <c r="J35" s="71" t="s">
        <v>91</v>
      </c>
      <c r="K35" s="72"/>
      <c r="L35" s="73"/>
      <c r="M35" s="74"/>
      <c r="N35" s="75"/>
      <c r="P35" s="113" t="s">
        <v>167</v>
      </c>
      <c r="Q35" s="12" t="s">
        <v>173</v>
      </c>
      <c r="Y35" s="1"/>
      <c r="Z35" s="1"/>
      <c r="AA35" s="1"/>
      <c r="AB35" s="1"/>
      <c r="AC35" s="1"/>
      <c r="AD35" s="1"/>
      <c r="AE35" s="1"/>
      <c r="AF35" s="1"/>
      <c r="AG35" s="1"/>
      <c r="AH35" s="1"/>
      <c r="AI35" s="107" t="e">
        <f>(AI33-AI30)*AI21*AI27/365</f>
        <v>#DIV/0!</v>
      </c>
      <c r="AJ35" s="119"/>
      <c r="AK35" s="108" t="e">
        <f>(AK33-AK30)*AK21*AK27/365</f>
        <v>#DIV/0!</v>
      </c>
      <c r="AL35" s="120"/>
      <c r="AM35" s="109" t="e">
        <f>(AM33-AM30)*AM21*AM27/365</f>
        <v>#DIV/0!</v>
      </c>
      <c r="AN35" s="121"/>
      <c r="AO35" s="150" t="e">
        <f>(AO33-AO30)*AO21*AO27/365</f>
        <v>#DIV/0!</v>
      </c>
      <c r="AP35" s="122"/>
      <c r="AQ35" s="111" t="e">
        <f>(AQ33-AQ30)*AQ21*AQ27/365</f>
        <v>#DIV/0!</v>
      </c>
      <c r="AR35" s="86"/>
      <c r="AS35" s="1"/>
      <c r="AT35" s="1"/>
      <c r="AU35" s="1"/>
      <c r="AV35" s="1"/>
      <c r="AW35" s="1"/>
      <c r="AX35" s="1"/>
      <c r="AY35" s="1"/>
      <c r="AZ35" s="1"/>
    </row>
    <row r="36" spans="1:52" s="12" customFormat="1" ht="14.4" customHeight="1" x14ac:dyDescent="0.3">
      <c r="A36" s="1"/>
      <c r="B36" s="1"/>
      <c r="C36" s="1"/>
      <c r="D36" s="1"/>
      <c r="E36" s="151"/>
      <c r="F36" s="1"/>
      <c r="G36" s="1"/>
      <c r="H36" s="1" t="s">
        <v>209</v>
      </c>
      <c r="I36" s="152" t="e">
        <f>I21-I34-I37-I38</f>
        <v>#DIV/0!</v>
      </c>
      <c r="J36" s="153" t="s">
        <v>94</v>
      </c>
      <c r="K36" s="154"/>
      <c r="L36" s="155"/>
      <c r="M36" s="48"/>
      <c r="N36" s="49"/>
      <c r="P36" s="113" t="s">
        <v>168</v>
      </c>
      <c r="Q36" s="12" t="s">
        <v>174</v>
      </c>
      <c r="Y36" s="1"/>
      <c r="Z36" s="1"/>
      <c r="AA36" s="1"/>
      <c r="AB36" s="1"/>
      <c r="AC36" s="1"/>
      <c r="AD36" s="1"/>
      <c r="AE36" s="1"/>
      <c r="AF36" s="1"/>
      <c r="AG36" s="1"/>
      <c r="AH36" s="1"/>
      <c r="AI36" s="156" t="e">
        <f>AI21-AI34-AI37-AI38</f>
        <v>#DIV/0!</v>
      </c>
      <c r="AJ36" s="157"/>
      <c r="AK36" s="158" t="e">
        <f>AK21-AK34-AK37-AK38</f>
        <v>#DIV/0!</v>
      </c>
      <c r="AL36" s="159"/>
      <c r="AM36" s="160" t="e">
        <f>AM21-AM34-AM37-AM38</f>
        <v>#DIV/0!</v>
      </c>
      <c r="AN36" s="161"/>
      <c r="AO36" s="162" t="e">
        <f>AO21-AO34-AO37-AO38</f>
        <v>#DIV/0!</v>
      </c>
      <c r="AP36" s="163"/>
      <c r="AQ36" s="164" t="e">
        <f>AQ21-AQ34-AQ37-AQ38</f>
        <v>#DIV/0!</v>
      </c>
      <c r="AR36" s="99"/>
      <c r="AS36" s="1"/>
      <c r="AT36" s="1"/>
      <c r="AU36" s="1"/>
      <c r="AV36" s="1"/>
      <c r="AW36" s="1"/>
      <c r="AX36" s="1"/>
      <c r="AY36" s="1"/>
      <c r="AZ36" s="1"/>
    </row>
    <row r="37" spans="1:52" s="12" customFormat="1" ht="14.4" customHeight="1" x14ac:dyDescent="0.3">
      <c r="A37" s="1"/>
      <c r="B37" s="1"/>
      <c r="C37" s="1"/>
      <c r="D37" s="1"/>
      <c r="E37" s="1"/>
      <c r="F37" s="1"/>
      <c r="G37" s="1"/>
      <c r="H37" s="1" t="s">
        <v>210</v>
      </c>
      <c r="I37" s="152" t="e">
        <f>(I25*(1+(1-I28)))*(I31/7)</f>
        <v>#DIV/0!</v>
      </c>
      <c r="J37" s="165" t="s">
        <v>120</v>
      </c>
      <c r="K37" s="166"/>
      <c r="L37" s="167"/>
      <c r="M37" s="39"/>
      <c r="N37" s="58"/>
      <c r="P37" s="113" t="s">
        <v>169</v>
      </c>
      <c r="Q37" s="12" t="s">
        <v>175</v>
      </c>
      <c r="Y37" s="1"/>
      <c r="Z37" s="1"/>
      <c r="AA37" s="1"/>
      <c r="AB37" s="1"/>
      <c r="AC37" s="1"/>
      <c r="AD37" s="1"/>
      <c r="AE37" s="1"/>
      <c r="AF37" s="1"/>
      <c r="AG37" s="1"/>
      <c r="AH37" s="1"/>
      <c r="AI37" s="168" t="e">
        <f>(AI25*(1+(1-AI28)))*(AI31/7)</f>
        <v>#DIV/0!</v>
      </c>
      <c r="AJ37" s="169"/>
      <c r="AK37" s="170" t="e">
        <f>(AK25*(1+(1-AK28)))*(AK31/7)</f>
        <v>#DIV/0!</v>
      </c>
      <c r="AL37" s="171"/>
      <c r="AM37" s="172" t="e">
        <f>(AM25*(1+(1-AM28)))*(AM31/7)</f>
        <v>#DIV/0!</v>
      </c>
      <c r="AN37" s="173"/>
      <c r="AO37" s="174" t="e">
        <f>(AO25*(1+(1-AO28)))*(AO31/7)</f>
        <v>#DIV/0!</v>
      </c>
      <c r="AP37" s="175"/>
      <c r="AQ37" s="176" t="e">
        <f>(AQ25*(1+(1-AQ28)))*(AQ31/7)</f>
        <v>#DIV/0!</v>
      </c>
      <c r="AR37" s="68"/>
      <c r="AS37" s="1"/>
      <c r="AT37" s="1"/>
      <c r="AU37" s="1"/>
      <c r="AV37" s="1"/>
      <c r="AW37" s="1"/>
      <c r="AX37" s="1"/>
      <c r="AY37" s="1"/>
      <c r="AZ37" s="1"/>
    </row>
    <row r="38" spans="1:52" s="12" customFormat="1" ht="14.4" customHeight="1" x14ac:dyDescent="0.3">
      <c r="A38" s="40"/>
      <c r="B38" s="1"/>
      <c r="C38" s="1"/>
      <c r="D38" s="1"/>
      <c r="E38" s="40"/>
      <c r="F38" s="1"/>
      <c r="G38" s="1"/>
      <c r="H38" s="1" t="s">
        <v>211</v>
      </c>
      <c r="I38" s="152" t="e">
        <f>(1-I28)*(I31/365*I27*I21)</f>
        <v>#DIV/0!</v>
      </c>
      <c r="J38" s="177" t="s">
        <v>98</v>
      </c>
      <c r="K38" s="178"/>
      <c r="L38" s="179"/>
      <c r="M38" s="74"/>
      <c r="N38" s="75"/>
      <c r="P38" s="113" t="s">
        <v>170</v>
      </c>
      <c r="Q38" s="12" t="s">
        <v>159</v>
      </c>
      <c r="Y38" s="1"/>
      <c r="Z38" s="1"/>
      <c r="AA38" s="1"/>
      <c r="AB38" s="1"/>
      <c r="AC38" s="1"/>
      <c r="AD38" s="1"/>
      <c r="AE38" s="1"/>
      <c r="AF38" s="1"/>
      <c r="AG38" s="1"/>
      <c r="AH38" s="1"/>
      <c r="AI38" s="180" t="e">
        <f>(1-AI28)*(AI31/365*AI27*AI21)</f>
        <v>#DIV/0!</v>
      </c>
      <c r="AJ38" s="181"/>
      <c r="AK38" s="182" t="e">
        <f>(1-AK28)*(AK31/365*AK27*AK21)</f>
        <v>#DIV/0!</v>
      </c>
      <c r="AL38" s="183"/>
      <c r="AM38" s="184" t="e">
        <f>(1-AM28)*(AM31/365*AM27*AM21)</f>
        <v>#DIV/0!</v>
      </c>
      <c r="AN38" s="185"/>
      <c r="AO38" s="186" t="e">
        <f>(1-AO28)*(AO31/365*AO27*AO21)</f>
        <v>#DIV/0!</v>
      </c>
      <c r="AP38" s="187"/>
      <c r="AQ38" s="188" t="e">
        <f>(1-AQ28)*(AQ31/365*AQ27*AQ21)</f>
        <v>#DIV/0!</v>
      </c>
      <c r="AR38" s="86"/>
      <c r="AS38" s="1"/>
      <c r="AT38" s="1"/>
      <c r="AU38" s="1"/>
      <c r="AV38" s="1"/>
      <c r="AW38" s="1"/>
      <c r="AX38" s="1"/>
      <c r="AY38" s="1"/>
      <c r="AZ38" s="1"/>
    </row>
    <row r="39" spans="1:52" s="12" customFormat="1" ht="14.4" customHeight="1" x14ac:dyDescent="0.3">
      <c r="A39" s="1"/>
      <c r="B39" s="1"/>
      <c r="C39" s="1"/>
      <c r="D39" s="1"/>
      <c r="E39" s="151"/>
      <c r="F39" s="1"/>
      <c r="G39" s="1"/>
      <c r="H39" s="1" t="s">
        <v>212</v>
      </c>
      <c r="I39" s="189" t="e">
        <f>I34+I37+I38+I36</f>
        <v>#DIV/0!</v>
      </c>
      <c r="J39" s="190" t="s">
        <v>78</v>
      </c>
      <c r="K39" s="191"/>
      <c r="L39" s="192"/>
      <c r="M39" s="193"/>
      <c r="N39" s="194"/>
      <c r="P39" s="113" t="s">
        <v>171</v>
      </c>
      <c r="Q39" s="12" t="s">
        <v>176</v>
      </c>
      <c r="R39" s="1"/>
      <c r="S39" s="1"/>
      <c r="Y39" s="1"/>
      <c r="Z39" s="1"/>
      <c r="AA39" s="1"/>
      <c r="AB39" s="1"/>
      <c r="AC39" s="1"/>
      <c r="AD39" s="1"/>
      <c r="AE39" s="1"/>
      <c r="AF39" s="1"/>
      <c r="AG39" s="1"/>
      <c r="AH39" s="1"/>
      <c r="AI39" s="195" t="e">
        <f>AI34+AI37+AI38+AI36</f>
        <v>#DIV/0!</v>
      </c>
      <c r="AJ39" s="196"/>
      <c r="AK39" s="197" t="e">
        <f>AK34+AK37+AK38+AK36</f>
        <v>#DIV/0!</v>
      </c>
      <c r="AL39" s="198"/>
      <c r="AM39" s="199" t="e">
        <f>AM34+AM37+AM38+AM36</f>
        <v>#DIV/0!</v>
      </c>
      <c r="AN39" s="200"/>
      <c r="AO39" s="201" t="e">
        <f>AO34+AO37+AO38+AO36</f>
        <v>#DIV/0!</v>
      </c>
      <c r="AP39" s="202"/>
      <c r="AQ39" s="203" t="e">
        <f>AQ34+AQ37+AQ38+AQ36</f>
        <v>#DIV/0!</v>
      </c>
      <c r="AR39" s="204"/>
      <c r="AS39" s="1"/>
      <c r="AT39" s="1"/>
      <c r="AU39" s="1"/>
      <c r="AV39" s="1"/>
      <c r="AW39" s="1"/>
      <c r="AX39" s="1"/>
      <c r="AY39" s="1"/>
      <c r="AZ39" s="1"/>
    </row>
    <row r="40" spans="1:52" s="12" customFormat="1" ht="14.4" customHeight="1" x14ac:dyDescent="0.3">
      <c r="A40" s="1"/>
      <c r="B40" s="1"/>
      <c r="C40" s="1"/>
      <c r="D40" s="1"/>
      <c r="E40" s="1"/>
      <c r="F40" s="1"/>
      <c r="G40" s="1"/>
      <c r="H40" s="1"/>
      <c r="I40" s="151"/>
      <c r="J40" s="1"/>
      <c r="K40" s="1"/>
      <c r="L40" s="37"/>
      <c r="M40" s="205"/>
      <c r="N40" s="38"/>
      <c r="O40" s="151"/>
      <c r="P40" s="1" t="s">
        <v>155</v>
      </c>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s="12" customFormat="1" ht="14.4" customHeight="1" x14ac:dyDescent="0.3">
      <c r="A41" s="1"/>
      <c r="B41" s="42" t="s">
        <v>224</v>
      </c>
      <c r="C41" s="1"/>
      <c r="D41" s="1"/>
      <c r="E41" s="1"/>
      <c r="F41" s="1"/>
      <c r="G41" s="1"/>
      <c r="H41" s="1"/>
      <c r="I41" s="1"/>
      <c r="J41" s="1"/>
      <c r="K41" s="1"/>
      <c r="L41" s="37"/>
      <c r="M41" s="38"/>
      <c r="N41" s="38"/>
      <c r="O41" s="1"/>
      <c r="P41" s="113" t="s">
        <v>180</v>
      </c>
      <c r="Q41" s="1" t="s">
        <v>179</v>
      </c>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s="12" customFormat="1" ht="14.4" customHeight="1" x14ac:dyDescent="0.3">
      <c r="A42" s="1"/>
      <c r="B42" s="1"/>
      <c r="C42" s="206"/>
      <c r="D42" s="206"/>
      <c r="E42" s="1"/>
      <c r="F42" s="1"/>
      <c r="G42" s="1"/>
      <c r="H42" s="1"/>
      <c r="I42" s="112"/>
      <c r="J42" s="27" t="s">
        <v>85</v>
      </c>
      <c r="K42" s="1"/>
      <c r="L42" s="37"/>
      <c r="N42" s="207"/>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s="12" customFormat="1" ht="14.4" customHeight="1" x14ac:dyDescent="0.3">
      <c r="A43" s="1"/>
      <c r="B43" s="1"/>
      <c r="C43" s="1"/>
      <c r="D43" s="1"/>
      <c r="E43" s="207" t="s">
        <v>88</v>
      </c>
      <c r="F43" s="1"/>
      <c r="G43" s="1"/>
      <c r="H43" s="1"/>
      <c r="I43" s="1"/>
      <c r="J43" s="1"/>
      <c r="K43" s="1"/>
      <c r="L43" s="37"/>
      <c r="M43" s="38"/>
      <c r="N43" s="38"/>
      <c r="O43" s="1"/>
      <c r="P43" s="1"/>
      <c r="Q43" s="1"/>
      <c r="R43" s="1"/>
      <c r="S43" s="1"/>
      <c r="T43" s="1"/>
      <c r="U43" s="1"/>
      <c r="V43" s="1"/>
      <c r="W43" s="1"/>
      <c r="X43" s="1"/>
      <c r="Y43" s="208"/>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s="12" customFormat="1" ht="14.4" customHeight="1" x14ac:dyDescent="0.3">
      <c r="A44" s="1"/>
      <c r="B44" s="42" t="s">
        <v>225</v>
      </c>
      <c r="C44" s="1"/>
      <c r="D44" s="1"/>
      <c r="E44" s="1"/>
      <c r="F44" s="1"/>
      <c r="G44" s="1"/>
      <c r="H44" s="1"/>
      <c r="I44" s="1"/>
      <c r="J44" s="1"/>
      <c r="K44" s="1"/>
      <c r="L44" s="37"/>
      <c r="M44" s="38"/>
      <c r="N44" s="38"/>
      <c r="O44" s="1"/>
      <c r="P44" s="1"/>
      <c r="Q44" s="1"/>
      <c r="R44" s="1"/>
      <c r="S44" s="1"/>
      <c r="T44" s="1"/>
      <c r="U44" s="209"/>
      <c r="V44" s="1"/>
      <c r="W44" s="209"/>
      <c r="X44" s="1"/>
      <c r="Y44" s="210"/>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12" customFormat="1" ht="14.4" customHeight="1" x14ac:dyDescent="0.3">
      <c r="A45" s="1"/>
      <c r="B45" s="1"/>
      <c r="C45" s="1"/>
      <c r="D45" s="1"/>
      <c r="E45" s="211"/>
      <c r="F45" s="211"/>
      <c r="G45" s="211"/>
      <c r="H45" s="1"/>
      <c r="I45" s="212" t="s">
        <v>44</v>
      </c>
      <c r="J45" s="212" t="s">
        <v>63</v>
      </c>
      <c r="K45" s="213"/>
      <c r="L45" s="37"/>
      <c r="M45" s="214"/>
      <c r="N45" s="214"/>
      <c r="O45" s="40"/>
      <c r="P45" s="40"/>
      <c r="Q45" s="40"/>
      <c r="R45" s="40"/>
      <c r="S45" s="40"/>
      <c r="T45" s="1"/>
      <c r="U45" s="37"/>
      <c r="V45" s="1"/>
      <c r="W45" s="37"/>
      <c r="X45" s="1"/>
      <c r="Y45" s="212"/>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s="12" customFormat="1" ht="14.4" customHeight="1" x14ac:dyDescent="0.3">
      <c r="A46" s="215"/>
      <c r="B46" s="46"/>
      <c r="C46" s="46"/>
      <c r="D46" s="46"/>
      <c r="E46" s="46"/>
      <c r="F46" s="46"/>
      <c r="G46" s="46"/>
      <c r="H46" s="49" t="s">
        <v>64</v>
      </c>
      <c r="I46" s="797"/>
      <c r="J46" s="216">
        <v>0.8</v>
      </c>
      <c r="K46" s="217">
        <f>J46*I46/56</f>
        <v>0</v>
      </c>
      <c r="L46" s="37"/>
      <c r="M46" s="214"/>
      <c r="N46" s="214"/>
      <c r="O46" s="40"/>
      <c r="P46" s="40"/>
      <c r="Q46" s="40"/>
      <c r="R46" s="40"/>
      <c r="S46" s="40"/>
      <c r="T46" s="1"/>
      <c r="U46" s="37"/>
      <c r="V46" s="1"/>
      <c r="W46" s="37"/>
      <c r="X46" s="1"/>
      <c r="Y46" s="212"/>
      <c r="Z46" s="209"/>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s="12" customFormat="1" ht="14.4" customHeight="1" x14ac:dyDescent="0.3">
      <c r="A47" s="218"/>
      <c r="B47" s="22"/>
      <c r="C47" s="22"/>
      <c r="D47" s="22"/>
      <c r="E47" s="22"/>
      <c r="F47" s="22"/>
      <c r="G47" s="22"/>
      <c r="H47" s="58" t="s">
        <v>65</v>
      </c>
      <c r="I47" s="797"/>
      <c r="J47" s="216">
        <v>0.15</v>
      </c>
      <c r="K47" s="217">
        <f>J47*I47/2000</f>
        <v>0</v>
      </c>
      <c r="L47" s="37"/>
      <c r="M47" s="214"/>
      <c r="N47" s="214"/>
      <c r="O47" s="40"/>
      <c r="P47" s="40"/>
      <c r="Q47" s="40"/>
      <c r="R47" s="40"/>
      <c r="S47" s="40"/>
      <c r="T47" s="1"/>
      <c r="U47" s="37"/>
      <c r="V47" s="1"/>
      <c r="W47" s="37"/>
      <c r="X47" s="1"/>
      <c r="Y47" s="212"/>
      <c r="Z47" s="209"/>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s="12" customFormat="1" ht="14.4" customHeight="1" x14ac:dyDescent="0.3">
      <c r="A48" s="218"/>
      <c r="B48" s="22"/>
      <c r="C48" s="22"/>
      <c r="D48" s="22"/>
      <c r="E48" s="22"/>
      <c r="F48" s="22"/>
      <c r="G48" s="22"/>
      <c r="H48" s="58" t="s">
        <v>66</v>
      </c>
      <c r="I48" s="797"/>
      <c r="J48" s="216">
        <v>0.05</v>
      </c>
      <c r="K48" s="217">
        <f>0.05*I48/2000</f>
        <v>0</v>
      </c>
      <c r="L48" s="37"/>
      <c r="M48" s="38"/>
      <c r="N48" s="38"/>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s="12" customFormat="1" ht="14.4" customHeight="1" x14ac:dyDescent="0.3">
      <c r="A49" s="218"/>
      <c r="B49" s="22"/>
      <c r="C49" s="22"/>
      <c r="D49" s="22"/>
      <c r="E49" s="22"/>
      <c r="F49" s="22"/>
      <c r="G49" s="22"/>
      <c r="H49" s="58" t="s">
        <v>96</v>
      </c>
      <c r="I49" s="798">
        <f>K46+K47+K48</f>
        <v>0</v>
      </c>
      <c r="J49" s="1"/>
      <c r="K49" s="1"/>
      <c r="L49" s="37"/>
      <c r="M49" s="38"/>
      <c r="N49" s="38"/>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s="12" customFormat="1" ht="14.4" customHeight="1" x14ac:dyDescent="0.3">
      <c r="A50" s="219"/>
      <c r="B50" s="72"/>
      <c r="C50" s="72"/>
      <c r="D50" s="72"/>
      <c r="E50" s="220"/>
      <c r="F50" s="72"/>
      <c r="G50" s="72"/>
      <c r="H50" s="221" t="s">
        <v>97</v>
      </c>
      <c r="I50" s="222"/>
      <c r="J50" s="1"/>
      <c r="K50" s="223"/>
      <c r="L50" s="224"/>
      <c r="M50" s="214"/>
      <c r="N50" s="214"/>
      <c r="O50" s="1"/>
      <c r="P50" s="1"/>
      <c r="Q50" s="40"/>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s="12" customFormat="1" ht="14.4" customHeight="1" x14ac:dyDescent="0.3">
      <c r="A51" s="1"/>
      <c r="B51" s="1"/>
      <c r="C51" s="1"/>
      <c r="D51" s="1"/>
      <c r="E51" s="40"/>
      <c r="F51" s="1"/>
      <c r="G51" s="1"/>
      <c r="H51" s="225"/>
      <c r="I51" s="225"/>
      <c r="J51" s="1"/>
      <c r="K51" s="223"/>
      <c r="L51" s="224"/>
      <c r="M51" s="38"/>
      <c r="N51" s="38"/>
      <c r="O51" s="225"/>
      <c r="P51" s="225"/>
      <c r="Q51" s="1"/>
      <c r="R51" s="1"/>
      <c r="S51" s="1"/>
      <c r="T51" s="1"/>
      <c r="U51" s="1"/>
      <c r="V51" s="1"/>
      <c r="W51" s="1"/>
      <c r="X51" s="1"/>
      <c r="Y51" s="226"/>
      <c r="Z51" s="226"/>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s="12" customFormat="1" ht="14.4" customHeight="1" x14ac:dyDescent="0.3">
      <c r="A52" s="1"/>
      <c r="B52" s="1"/>
      <c r="C52" s="1"/>
      <c r="D52" s="1"/>
      <c r="E52" s="40"/>
      <c r="F52" s="1"/>
      <c r="G52" s="1"/>
      <c r="H52" s="225"/>
      <c r="I52" s="225"/>
      <c r="J52" s="1"/>
      <c r="K52" s="223"/>
      <c r="L52" s="224"/>
      <c r="M52" s="38"/>
      <c r="N52" s="38"/>
      <c r="O52" s="225"/>
      <c r="P52" s="225"/>
      <c r="Q52" s="1"/>
      <c r="R52" s="1"/>
      <c r="S52" s="1"/>
      <c r="T52" s="1"/>
      <c r="U52" s="1"/>
      <c r="V52" s="1"/>
      <c r="W52" s="1"/>
      <c r="X52" s="1"/>
      <c r="Y52" s="226"/>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s="12" customFormat="1" ht="14.4" customHeight="1" x14ac:dyDescent="0.3">
      <c r="A53" s="1"/>
      <c r="B53" s="227"/>
      <c r="C53" s="228"/>
      <c r="D53" s="228"/>
      <c r="E53" s="228"/>
      <c r="F53" s="228"/>
      <c r="G53" s="228"/>
      <c r="H53" s="229" t="s">
        <v>84</v>
      </c>
      <c r="I53" s="230">
        <f>IF(AA54=FALSE,I49,I50)</f>
        <v>0</v>
      </c>
      <c r="J53" s="223"/>
      <c r="K53" s="223"/>
      <c r="L53" s="223"/>
      <c r="M53" s="223"/>
      <c r="N53" s="223"/>
      <c r="O53" s="223"/>
      <c r="P53" s="223"/>
      <c r="Q53" s="223"/>
      <c r="R53" s="223"/>
      <c r="S53" s="1"/>
      <c r="T53" s="1"/>
      <c r="U53" s="1"/>
      <c r="V53" s="1"/>
      <c r="W53" s="1"/>
      <c r="X53" s="1"/>
      <c r="Y53" s="231"/>
      <c r="Z53" s="1"/>
      <c r="AA53" s="1"/>
      <c r="AB53" s="1"/>
      <c r="AC53" s="1"/>
      <c r="AD53" s="1"/>
      <c r="AE53" s="1"/>
      <c r="AF53" s="1"/>
      <c r="AG53" s="1"/>
      <c r="AH53" s="1"/>
      <c r="AI53" s="1"/>
      <c r="AJ53" s="1"/>
      <c r="AK53" s="1"/>
      <c r="AL53" s="1"/>
      <c r="AM53" s="1"/>
      <c r="AN53" s="212"/>
      <c r="AO53" s="1"/>
      <c r="AP53" s="1"/>
      <c r="AQ53" s="1"/>
      <c r="AR53" s="1"/>
      <c r="AS53" s="1"/>
      <c r="AT53" s="1"/>
      <c r="AU53" s="1"/>
      <c r="AV53" s="1"/>
      <c r="AW53" s="1"/>
      <c r="AX53" s="1"/>
      <c r="AY53" s="1"/>
      <c r="AZ53" s="1"/>
    </row>
    <row r="54" spans="1:52" s="12" customFormat="1" ht="14.4" customHeight="1" thickBot="1" x14ac:dyDescent="0.35">
      <c r="A54" s="1"/>
      <c r="B54" s="1"/>
      <c r="C54" s="1"/>
      <c r="D54" s="1"/>
      <c r="E54" s="1"/>
      <c r="F54" s="1"/>
      <c r="G54" s="1"/>
      <c r="H54" s="1"/>
      <c r="I54" s="1"/>
      <c r="J54" s="223"/>
      <c r="K54" s="223"/>
      <c r="L54" s="223"/>
      <c r="M54" s="223"/>
      <c r="N54" s="223"/>
      <c r="O54" s="223"/>
      <c r="P54" s="223"/>
      <c r="Q54" s="223"/>
      <c r="R54" s="223"/>
      <c r="S54" s="1"/>
      <c r="T54" s="1"/>
      <c r="U54" s="1"/>
      <c r="V54" s="1"/>
      <c r="W54" s="1"/>
      <c r="X54" s="1"/>
      <c r="Y54" s="1"/>
      <c r="Z54" s="1"/>
      <c r="AA54" s="232" t="b">
        <v>1</v>
      </c>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s="12" customFormat="1" ht="14.4" customHeight="1" thickBot="1" x14ac:dyDescent="0.35">
      <c r="A55" s="1"/>
      <c r="B55" s="42" t="s">
        <v>226</v>
      </c>
      <c r="C55" s="1"/>
      <c r="D55" s="1"/>
      <c r="E55" s="1"/>
      <c r="F55" s="1"/>
      <c r="G55" s="1"/>
      <c r="H55" s="1"/>
      <c r="I55" s="1"/>
      <c r="J55" s="76"/>
      <c r="K55" s="379" t="s">
        <v>188</v>
      </c>
      <c r="L55" s="379"/>
      <c r="M55" s="315"/>
      <c r="N55" s="38"/>
      <c r="O55" s="708" t="s">
        <v>214</v>
      </c>
      <c r="P55" s="708"/>
      <c r="Q55" s="708"/>
      <c r="R55" s="708"/>
      <c r="S55" s="708"/>
      <c r="T55" s="22"/>
      <c r="U55" s="22"/>
      <c r="V55" s="22"/>
      <c r="W55" s="22"/>
      <c r="X55" s="22"/>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12" customFormat="1" ht="14.4" customHeight="1" thickBot="1" x14ac:dyDescent="0.35">
      <c r="A56" s="1"/>
      <c r="B56" s="1"/>
      <c r="C56" s="1"/>
      <c r="D56" s="1"/>
      <c r="E56" s="1"/>
      <c r="F56" s="1"/>
      <c r="G56" s="1"/>
      <c r="H56" s="1"/>
      <c r="I56" s="1"/>
      <c r="J56" s="1"/>
      <c r="K56" s="781" t="s">
        <v>137</v>
      </c>
      <c r="L56" s="782"/>
      <c r="M56" s="38"/>
      <c r="N56" s="38"/>
      <c r="O56" s="1324" t="s">
        <v>182</v>
      </c>
      <c r="P56" s="1325"/>
      <c r="Q56" s="1312" t="s">
        <v>183</v>
      </c>
      <c r="R56" s="1313"/>
      <c r="S56" s="1312" t="s">
        <v>184</v>
      </c>
      <c r="T56" s="1313"/>
      <c r="U56" s="1323" t="s">
        <v>185</v>
      </c>
      <c r="V56" s="1313"/>
      <c r="W56" s="1312" t="s">
        <v>186</v>
      </c>
      <c r="X56" s="1313"/>
      <c r="Y56" s="1"/>
      <c r="Z56" s="1"/>
      <c r="AA56" s="1"/>
      <c r="AB56" s="1"/>
      <c r="AC56" s="1"/>
      <c r="AD56" s="1"/>
      <c r="AE56" s="1"/>
      <c r="AF56" s="1"/>
      <c r="AG56" s="1"/>
      <c r="AH56" s="1"/>
      <c r="AI56" s="233" t="s">
        <v>39</v>
      </c>
      <c r="AJ56" s="233"/>
      <c r="AK56" s="234" t="s">
        <v>32</v>
      </c>
      <c r="AL56" s="234"/>
      <c r="AM56" s="235" t="s">
        <v>6</v>
      </c>
      <c r="AN56" s="235"/>
      <c r="AO56" s="236" t="s">
        <v>49</v>
      </c>
      <c r="AP56" s="236"/>
      <c r="AQ56" s="237" t="s">
        <v>36</v>
      </c>
      <c r="AR56" s="237"/>
      <c r="AS56" s="238" t="s">
        <v>5</v>
      </c>
      <c r="AT56" s="239"/>
      <c r="AU56" s="1"/>
      <c r="AV56" s="1"/>
      <c r="AW56" s="1"/>
      <c r="AX56" s="1"/>
      <c r="AY56" s="1"/>
      <c r="AZ56" s="1"/>
    </row>
    <row r="57" spans="1:52" s="12" customFormat="1" ht="14.4" customHeight="1" x14ac:dyDescent="0.3">
      <c r="A57" s="1"/>
      <c r="B57" s="1"/>
      <c r="C57" s="1"/>
      <c r="D57" s="1"/>
      <c r="E57" s="1"/>
      <c r="F57" s="1"/>
      <c r="G57" s="981"/>
      <c r="H57" s="981"/>
      <c r="I57" s="981"/>
      <c r="J57" s="982" t="s">
        <v>262</v>
      </c>
      <c r="K57" s="980">
        <f>K93</f>
        <v>0</v>
      </c>
      <c r="L57" s="783" t="s">
        <v>114</v>
      </c>
      <c r="M57" s="38"/>
      <c r="N57" s="1104"/>
      <c r="O57" s="980" t="e">
        <f>O93</f>
        <v>#DIV/0!</v>
      </c>
      <c r="P57" s="995" t="s">
        <v>114</v>
      </c>
      <c r="Q57" s="980" t="e">
        <f>Q93</f>
        <v>#DIV/0!</v>
      </c>
      <c r="R57" s="991" t="s">
        <v>114</v>
      </c>
      <c r="S57" s="980" t="e">
        <f>S93</f>
        <v>#DIV/0!</v>
      </c>
      <c r="T57" s="988" t="s">
        <v>114</v>
      </c>
      <c r="U57" s="979" t="e">
        <f>U93</f>
        <v>#DIV/0!</v>
      </c>
      <c r="V57" s="1157" t="s">
        <v>114</v>
      </c>
      <c r="W57" s="979" t="e">
        <f>W93</f>
        <v>#DIV/0!</v>
      </c>
      <c r="X57" s="984" t="s">
        <v>114</v>
      </c>
      <c r="Y57" s="22"/>
      <c r="Z57" s="1"/>
      <c r="AA57" s="1"/>
      <c r="AB57" s="1"/>
      <c r="AC57" s="1"/>
      <c r="AD57" s="1"/>
      <c r="AE57" s="1"/>
      <c r="AF57" s="1"/>
      <c r="AG57" s="1"/>
      <c r="AH57" s="1"/>
      <c r="AI57" s="233" t="s">
        <v>0</v>
      </c>
      <c r="AJ57" s="233"/>
      <c r="AK57" s="240" t="s">
        <v>3</v>
      </c>
      <c r="AL57" s="240">
        <v>5</v>
      </c>
      <c r="AM57" s="235" t="s">
        <v>4</v>
      </c>
      <c r="AN57" s="235"/>
      <c r="AO57" s="236"/>
      <c r="AP57" s="236"/>
      <c r="AQ57" s="237"/>
      <c r="AR57" s="237"/>
      <c r="AS57" s="238"/>
      <c r="AT57" s="239"/>
      <c r="AU57" s="1"/>
      <c r="AV57" s="1"/>
      <c r="AW57" s="1"/>
      <c r="AX57" s="1"/>
      <c r="AY57" s="1"/>
      <c r="AZ57" s="1"/>
    </row>
    <row r="58" spans="1:52" s="12" customFormat="1" ht="14.4" customHeight="1" x14ac:dyDescent="0.3">
      <c r="A58" s="1"/>
      <c r="B58" s="1"/>
      <c r="C58" s="1"/>
      <c r="D58" s="1"/>
      <c r="E58" s="241"/>
      <c r="F58" s="46"/>
      <c r="G58" s="46"/>
      <c r="H58" s="46"/>
      <c r="I58" s="48"/>
      <c r="J58" s="48" t="s">
        <v>127</v>
      </c>
      <c r="K58" s="784">
        <f>I21</f>
        <v>0</v>
      </c>
      <c r="L58" s="783" t="s">
        <v>114</v>
      </c>
      <c r="M58" s="48"/>
      <c r="N58" s="48"/>
      <c r="O58" s="684" t="e">
        <f>O61/O62</f>
        <v>#DIV/0!</v>
      </c>
      <c r="P58" s="638" t="s">
        <v>114</v>
      </c>
      <c r="Q58" s="685" t="e">
        <f>Q61/Q62</f>
        <v>#DIV/0!</v>
      </c>
      <c r="R58" s="646" t="s">
        <v>114</v>
      </c>
      <c r="S58" s="686" t="e">
        <f>S61/S62</f>
        <v>#DIV/0!</v>
      </c>
      <c r="T58" s="654" t="s">
        <v>114</v>
      </c>
      <c r="U58" s="687" t="e">
        <f>U61/U62</f>
        <v>#DIV/0!</v>
      </c>
      <c r="V58" s="662" t="s">
        <v>114</v>
      </c>
      <c r="W58" s="688" t="e">
        <f>W61/W62</f>
        <v>#DIV/0!</v>
      </c>
      <c r="X58" s="282" t="s">
        <v>114</v>
      </c>
      <c r="Y58" s="1"/>
      <c r="Z58" s="1"/>
      <c r="AA58" s="1"/>
      <c r="AB58" s="1"/>
      <c r="AC58" s="1"/>
      <c r="AD58" s="1"/>
      <c r="AE58" s="1"/>
      <c r="AF58" s="1"/>
      <c r="AG58" s="1"/>
      <c r="AH58" s="1"/>
      <c r="AI58" s="6"/>
      <c r="AJ58" s="6"/>
      <c r="AK58" s="16"/>
      <c r="AL58" s="16"/>
      <c r="AM58" s="17"/>
      <c r="AN58" s="17"/>
      <c r="AO58" s="18"/>
      <c r="AP58" s="18"/>
      <c r="AQ58" s="19"/>
      <c r="AR58" s="19"/>
      <c r="AS58" s="11"/>
      <c r="AT58" s="11"/>
      <c r="AU58" s="1"/>
      <c r="AV58" s="1"/>
      <c r="AW58" s="1"/>
      <c r="AX58" s="1"/>
      <c r="AY58" s="1"/>
      <c r="AZ58" s="1"/>
    </row>
    <row r="59" spans="1:52" s="12" customFormat="1" ht="14.4" customHeight="1" x14ac:dyDescent="0.3">
      <c r="A59" s="1"/>
      <c r="B59" s="1"/>
      <c r="C59" s="1"/>
      <c r="D59" s="1"/>
      <c r="E59" s="242"/>
      <c r="F59" s="22"/>
      <c r="G59" s="22"/>
      <c r="H59" s="22"/>
      <c r="I59" s="39"/>
      <c r="J59" s="39" t="s">
        <v>73</v>
      </c>
      <c r="K59" s="785">
        <f>I31</f>
        <v>0</v>
      </c>
      <c r="L59" s="783" t="s">
        <v>213</v>
      </c>
      <c r="M59" s="39"/>
      <c r="N59" s="39"/>
      <c r="O59" s="753"/>
      <c r="P59" s="638" t="s">
        <v>213</v>
      </c>
      <c r="Q59" s="753"/>
      <c r="R59" s="646" t="s">
        <v>213</v>
      </c>
      <c r="S59" s="753"/>
      <c r="T59" s="654" t="s">
        <v>213</v>
      </c>
      <c r="U59" s="753"/>
      <c r="V59" s="662" t="s">
        <v>213</v>
      </c>
      <c r="W59" s="753"/>
      <c r="X59" s="282" t="s">
        <v>213</v>
      </c>
      <c r="Y59" s="1"/>
      <c r="Z59" s="1"/>
      <c r="AA59" s="1"/>
      <c r="AB59" s="1"/>
      <c r="AC59" s="1"/>
      <c r="AD59" s="1"/>
      <c r="AE59" s="1"/>
      <c r="AF59" s="1"/>
      <c r="AG59" s="1"/>
      <c r="AH59" s="1"/>
      <c r="AI59" s="6"/>
      <c r="AJ59" s="6"/>
      <c r="AK59" s="16"/>
      <c r="AL59" s="16"/>
      <c r="AM59" s="17"/>
      <c r="AN59" s="17"/>
      <c r="AO59" s="18"/>
      <c r="AP59" s="18"/>
      <c r="AQ59" s="19"/>
      <c r="AR59" s="19"/>
      <c r="AS59" s="11"/>
      <c r="AT59" s="11"/>
      <c r="AU59" s="1"/>
      <c r="AV59" s="1"/>
      <c r="AW59" s="1"/>
      <c r="AX59" s="1"/>
      <c r="AY59" s="1"/>
      <c r="AZ59" s="1"/>
    </row>
    <row r="60" spans="1:52" s="12" customFormat="1" ht="14.4" customHeight="1" x14ac:dyDescent="0.3">
      <c r="A60" s="1"/>
      <c r="B60" s="1"/>
      <c r="C60" s="1"/>
      <c r="D60" s="1"/>
      <c r="E60" s="243"/>
      <c r="F60" s="72"/>
      <c r="G60" s="72"/>
      <c r="H60" s="72"/>
      <c r="I60" s="74"/>
      <c r="J60" s="74" t="s">
        <v>68</v>
      </c>
      <c r="K60" s="786" t="e">
        <f>I36</f>
        <v>#DIV/0!</v>
      </c>
      <c r="L60" s="783" t="s">
        <v>114</v>
      </c>
      <c r="M60" s="74"/>
      <c r="N60" s="74"/>
      <c r="O60" s="693" t="e">
        <f>AI36</f>
        <v>#DIV/0!</v>
      </c>
      <c r="P60" s="638" t="s">
        <v>114</v>
      </c>
      <c r="Q60" s="695" t="e">
        <f>AK36</f>
        <v>#DIV/0!</v>
      </c>
      <c r="R60" s="646" t="s">
        <v>114</v>
      </c>
      <c r="S60" s="698" t="e">
        <f>AM36</f>
        <v>#DIV/0!</v>
      </c>
      <c r="T60" s="654" t="s">
        <v>114</v>
      </c>
      <c r="U60" s="701" t="e">
        <f>AO36</f>
        <v>#DIV/0!</v>
      </c>
      <c r="V60" s="662" t="s">
        <v>114</v>
      </c>
      <c r="W60" s="704" t="e">
        <f>AQ36</f>
        <v>#DIV/0!</v>
      </c>
      <c r="X60" s="282" t="s">
        <v>114</v>
      </c>
      <c r="Y60" s="1"/>
      <c r="Z60" s="1"/>
      <c r="AA60" s="1"/>
      <c r="AB60" s="1"/>
      <c r="AC60" s="1"/>
      <c r="AD60" s="1"/>
      <c r="AE60" s="1"/>
      <c r="AF60" s="1"/>
      <c r="AG60" s="1"/>
      <c r="AH60" s="1"/>
      <c r="AI60" s="6"/>
      <c r="AJ60" s="6"/>
      <c r="AK60" s="16"/>
      <c r="AL60" s="16"/>
      <c r="AM60" s="17"/>
      <c r="AN60" s="17"/>
      <c r="AO60" s="18"/>
      <c r="AP60" s="18"/>
      <c r="AQ60" s="19"/>
      <c r="AR60" s="19"/>
      <c r="AS60" s="11"/>
      <c r="AT60" s="11"/>
      <c r="AU60" s="1"/>
      <c r="AV60" s="1"/>
      <c r="AW60" s="1"/>
      <c r="AX60" s="1"/>
      <c r="AY60" s="1"/>
      <c r="AZ60" s="1"/>
    </row>
    <row r="61" spans="1:52" s="12" customFormat="1" ht="14.4" customHeight="1" x14ac:dyDescent="0.3">
      <c r="A61" s="1"/>
      <c r="B61" s="1"/>
      <c r="C61" s="1"/>
      <c r="D61" s="1"/>
      <c r="E61" s="215"/>
      <c r="F61" s="46"/>
      <c r="G61" s="46"/>
      <c r="H61" s="46"/>
      <c r="I61" s="48"/>
      <c r="J61" s="48" t="s">
        <v>30</v>
      </c>
      <c r="K61" s="784">
        <f>I22</f>
        <v>0</v>
      </c>
      <c r="L61" s="783" t="s">
        <v>114</v>
      </c>
      <c r="M61" s="48"/>
      <c r="N61" s="48"/>
      <c r="O61" s="684">
        <f>K61</f>
        <v>0</v>
      </c>
      <c r="P61" s="638" t="s">
        <v>114</v>
      </c>
      <c r="Q61" s="685">
        <f>K61</f>
        <v>0</v>
      </c>
      <c r="R61" s="646" t="s">
        <v>114</v>
      </c>
      <c r="S61" s="686">
        <f>K61</f>
        <v>0</v>
      </c>
      <c r="T61" s="654" t="s">
        <v>114</v>
      </c>
      <c r="U61" s="687">
        <f>K61</f>
        <v>0</v>
      </c>
      <c r="V61" s="662" t="s">
        <v>114</v>
      </c>
      <c r="W61" s="688">
        <f>K61</f>
        <v>0</v>
      </c>
      <c r="X61" s="282" t="s">
        <v>114</v>
      </c>
      <c r="Y61" s="1"/>
      <c r="Z61" s="1"/>
      <c r="AA61" s="1" t="s">
        <v>150</v>
      </c>
      <c r="AB61" s="1" t="s">
        <v>151</v>
      </c>
      <c r="AC61" s="1"/>
      <c r="AD61" s="1"/>
      <c r="AE61" s="1"/>
      <c r="AF61" s="1"/>
      <c r="AG61" s="1"/>
      <c r="AH61" s="1"/>
      <c r="AI61" s="6"/>
      <c r="AJ61" s="6"/>
      <c r="AK61" s="16"/>
      <c r="AL61" s="16"/>
      <c r="AM61" s="17"/>
      <c r="AN61" s="17"/>
      <c r="AO61" s="18"/>
      <c r="AP61" s="18"/>
      <c r="AQ61" s="19"/>
      <c r="AR61" s="19"/>
      <c r="AS61" s="11"/>
      <c r="AT61" s="11"/>
      <c r="AU61" s="1"/>
      <c r="AV61" s="1"/>
      <c r="AW61" s="1"/>
      <c r="AX61" s="1"/>
      <c r="AY61" s="1"/>
      <c r="AZ61" s="1"/>
    </row>
    <row r="62" spans="1:52" s="12" customFormat="1" ht="14.4" customHeight="1" x14ac:dyDescent="0.3">
      <c r="A62" s="1"/>
      <c r="B62" s="1"/>
      <c r="C62" s="1"/>
      <c r="D62" s="1"/>
      <c r="E62" s="218"/>
      <c r="F62" s="22"/>
      <c r="G62" s="22"/>
      <c r="H62" s="22"/>
      <c r="I62" s="39"/>
      <c r="J62" s="39" t="s">
        <v>147</v>
      </c>
      <c r="K62" s="787" t="e">
        <f>K61/K58</f>
        <v>#DIV/0!</v>
      </c>
      <c r="L62" s="783" t="s">
        <v>114</v>
      </c>
      <c r="M62" s="39"/>
      <c r="N62" s="39"/>
      <c r="O62" s="705"/>
      <c r="P62" s="765" t="s">
        <v>114</v>
      </c>
      <c r="Q62" s="705"/>
      <c r="R62" s="767" t="s">
        <v>114</v>
      </c>
      <c r="S62" s="705"/>
      <c r="T62" s="770" t="s">
        <v>114</v>
      </c>
      <c r="U62" s="705"/>
      <c r="V62" s="773" t="s">
        <v>114</v>
      </c>
      <c r="W62" s="705"/>
      <c r="X62" s="282" t="s">
        <v>114</v>
      </c>
      <c r="Y62" s="1"/>
      <c r="Z62" s="1"/>
      <c r="AA62" s="1" t="b">
        <v>1</v>
      </c>
      <c r="AB62" s="1" t="b">
        <v>0</v>
      </c>
      <c r="AC62" s="1"/>
      <c r="AD62" s="1"/>
      <c r="AE62" s="1"/>
      <c r="AF62" s="1"/>
      <c r="AG62" s="1"/>
      <c r="AH62" s="1"/>
      <c r="AI62" s="6"/>
      <c r="AJ62" s="6"/>
      <c r="AK62" s="16"/>
      <c r="AL62" s="16"/>
      <c r="AM62" s="17"/>
      <c r="AN62" s="17"/>
      <c r="AO62" s="18"/>
      <c r="AP62" s="18"/>
      <c r="AQ62" s="19"/>
      <c r="AR62" s="19"/>
      <c r="AS62" s="11"/>
      <c r="AT62" s="11"/>
      <c r="AU62" s="1"/>
      <c r="AV62" s="1"/>
      <c r="AW62" s="1"/>
      <c r="AX62" s="1"/>
      <c r="AY62" s="1"/>
      <c r="AZ62" s="1"/>
    </row>
    <row r="63" spans="1:52" s="12" customFormat="1" ht="14.4" customHeight="1" x14ac:dyDescent="0.3">
      <c r="A63" s="1"/>
      <c r="B63" s="1"/>
      <c r="C63" s="1"/>
      <c r="D63" s="151"/>
      <c r="E63" s="244"/>
      <c r="F63" s="72"/>
      <c r="G63" s="72"/>
      <c r="H63" s="72"/>
      <c r="I63" s="74"/>
      <c r="J63" s="74" t="s">
        <v>51</v>
      </c>
      <c r="K63" s="787" t="e">
        <f>K62/$I27</f>
        <v>#DIV/0!</v>
      </c>
      <c r="L63" s="783" t="s">
        <v>114</v>
      </c>
      <c r="M63" s="39"/>
      <c r="N63" s="39"/>
      <c r="O63" s="694" t="e">
        <f>O62/$I27</f>
        <v>#DIV/0!</v>
      </c>
      <c r="P63" s="765" t="s">
        <v>114</v>
      </c>
      <c r="Q63" s="696" t="e">
        <f>Q62/$I27</f>
        <v>#DIV/0!</v>
      </c>
      <c r="R63" s="767" t="s">
        <v>114</v>
      </c>
      <c r="S63" s="699" t="e">
        <f>S62/$I27</f>
        <v>#DIV/0!</v>
      </c>
      <c r="T63" s="770" t="s">
        <v>114</v>
      </c>
      <c r="U63" s="702" t="e">
        <f>U62/$I27</f>
        <v>#DIV/0!</v>
      </c>
      <c r="V63" s="773" t="s">
        <v>114</v>
      </c>
      <c r="W63" s="706" t="e">
        <f>W62/$I27</f>
        <v>#DIV/0!</v>
      </c>
      <c r="X63" s="776" t="s">
        <v>114</v>
      </c>
      <c r="Y63" s="1"/>
      <c r="Z63" s="1"/>
      <c r="AA63" s="212" t="s">
        <v>148</v>
      </c>
      <c r="AB63" s="212" t="s">
        <v>149</v>
      </c>
      <c r="AC63" s="1"/>
      <c r="AD63" s="1"/>
      <c r="AE63" s="1"/>
      <c r="AF63" s="1"/>
      <c r="AG63" s="1"/>
      <c r="AH63" s="1"/>
      <c r="AI63" s="6"/>
      <c r="AJ63" s="6"/>
      <c r="AK63" s="16"/>
      <c r="AL63" s="16"/>
      <c r="AM63" s="17"/>
      <c r="AN63" s="17"/>
      <c r="AO63" s="18"/>
      <c r="AP63" s="18"/>
      <c r="AQ63" s="19"/>
      <c r="AR63" s="19"/>
      <c r="AS63" s="11"/>
      <c r="AT63" s="11"/>
      <c r="AU63" s="1"/>
      <c r="AV63" s="1"/>
      <c r="AW63" s="1"/>
      <c r="AX63" s="1"/>
      <c r="AY63" s="1"/>
      <c r="AZ63" s="1"/>
    </row>
    <row r="64" spans="1:52" s="12" customFormat="1" ht="14.4" customHeight="1" x14ac:dyDescent="0.3">
      <c r="A64" s="1"/>
      <c r="B64" s="1"/>
      <c r="C64" s="215"/>
      <c r="D64" s="46"/>
      <c r="E64" s="46"/>
      <c r="F64" s="46"/>
      <c r="G64" s="46"/>
      <c r="H64" s="46"/>
      <c r="I64" s="46"/>
      <c r="J64" s="48" t="s">
        <v>106</v>
      </c>
      <c r="K64" s="754"/>
      <c r="L64" s="783" t="s">
        <v>34</v>
      </c>
      <c r="M64" s="780" t="str">
        <f>IF(AA64&lt;14,"CAUTION!","OK")</f>
        <v>CAUTION!</v>
      </c>
      <c r="N64" s="48"/>
      <c r="O64" s="754"/>
      <c r="P64" s="766" t="s">
        <v>114</v>
      </c>
      <c r="Q64" s="754"/>
      <c r="R64" s="515" t="s">
        <v>114</v>
      </c>
      <c r="S64" s="754"/>
      <c r="T64" s="418" t="s">
        <v>114</v>
      </c>
      <c r="U64" s="754"/>
      <c r="V64" s="524" t="s">
        <v>114</v>
      </c>
      <c r="W64" s="754"/>
      <c r="X64" s="330" t="s">
        <v>114</v>
      </c>
      <c r="Y64" s="1"/>
      <c r="Z64" s="1"/>
      <c r="AA64" s="245">
        <f>MIN(K64,O64,Q64,S64,U64,W64)</f>
        <v>0</v>
      </c>
      <c r="AB64" s="245">
        <f>MAX(K64,O64,Q64,S64,U64,W64,)</f>
        <v>0</v>
      </c>
      <c r="AC64" s="1"/>
      <c r="AD64" s="1"/>
      <c r="AE64" s="1"/>
      <c r="AF64" s="1"/>
      <c r="AG64" s="1"/>
      <c r="AH64" s="1"/>
      <c r="AI64" s="6"/>
      <c r="AJ64" s="6"/>
      <c r="AK64" s="16"/>
      <c r="AL64" s="16"/>
      <c r="AM64" s="17"/>
      <c r="AN64" s="17"/>
      <c r="AO64" s="18"/>
      <c r="AP64" s="18"/>
      <c r="AQ64" s="19"/>
      <c r="AR64" s="19"/>
      <c r="AS64" s="11"/>
      <c r="AT64" s="11"/>
      <c r="AU64" s="1"/>
      <c r="AV64" s="1"/>
      <c r="AW64" s="1"/>
      <c r="AX64" s="1"/>
      <c r="AY64" s="1"/>
      <c r="AZ64" s="1"/>
    </row>
    <row r="65" spans="1:52" s="12" customFormat="1" ht="14.4" customHeight="1" x14ac:dyDescent="0.3">
      <c r="A65" s="40"/>
      <c r="B65" s="40"/>
      <c r="C65" s="242"/>
      <c r="D65" s="246"/>
      <c r="E65" s="246"/>
      <c r="F65" s="246"/>
      <c r="G65" s="246"/>
      <c r="H65" s="246"/>
      <c r="I65" s="246"/>
      <c r="J65" s="39" t="s">
        <v>110</v>
      </c>
      <c r="K65" s="754"/>
      <c r="L65" s="783" t="s">
        <v>34</v>
      </c>
      <c r="M65" s="780" t="str">
        <f>IF(AA65&lt;14,"CAUTION!","OK")</f>
        <v>CAUTION!</v>
      </c>
      <c r="N65" s="39"/>
      <c r="O65" s="754"/>
      <c r="P65" s="766" t="s">
        <v>114</v>
      </c>
      <c r="Q65" s="754"/>
      <c r="R65" s="515" t="s">
        <v>114</v>
      </c>
      <c r="S65" s="754"/>
      <c r="T65" s="418" t="s">
        <v>114</v>
      </c>
      <c r="U65" s="754"/>
      <c r="V65" s="524" t="s">
        <v>114</v>
      </c>
      <c r="W65" s="754"/>
      <c r="X65" s="330" t="s">
        <v>114</v>
      </c>
      <c r="Y65" s="1"/>
      <c r="Z65" s="1"/>
      <c r="AA65" s="245">
        <f>MIN(K65,O65,Q65,S65,U65,W65)</f>
        <v>0</v>
      </c>
      <c r="AB65" s="245">
        <f>MAX(K65,O65,Q65,S65,U65,W65,)</f>
        <v>0</v>
      </c>
      <c r="AC65" s="1"/>
      <c r="AD65" s="1"/>
      <c r="AE65" s="1"/>
      <c r="AF65" s="1"/>
      <c r="AG65" s="1"/>
      <c r="AH65" s="1"/>
      <c r="AI65" s="6"/>
      <c r="AJ65" s="6"/>
      <c r="AK65" s="16"/>
      <c r="AL65" s="16"/>
      <c r="AM65" s="17"/>
      <c r="AN65" s="17"/>
      <c r="AO65" s="18"/>
      <c r="AP65" s="18"/>
      <c r="AQ65" s="19"/>
      <c r="AR65" s="19"/>
      <c r="AS65" s="11"/>
      <c r="AT65" s="11"/>
      <c r="AU65" s="1"/>
      <c r="AV65" s="1"/>
      <c r="AW65" s="1"/>
      <c r="AX65" s="1"/>
      <c r="AY65" s="1"/>
      <c r="AZ65" s="1"/>
    </row>
    <row r="66" spans="1:52" s="12" customFormat="1" ht="14.4" customHeight="1" x14ac:dyDescent="0.3">
      <c r="A66" s="1"/>
      <c r="B66" s="1"/>
      <c r="C66" s="219"/>
      <c r="D66" s="72"/>
      <c r="E66" s="72"/>
      <c r="F66" s="72"/>
      <c r="G66" s="72"/>
      <c r="H66" s="72"/>
      <c r="I66" s="72"/>
      <c r="J66" s="74" t="s">
        <v>99</v>
      </c>
      <c r="K66" s="754"/>
      <c r="L66" s="783" t="s">
        <v>34</v>
      </c>
      <c r="M66" s="780" t="str">
        <f>IF(AA66&lt;14,"CAUTION!","OK")</f>
        <v>CAUTION!</v>
      </c>
      <c r="N66" s="74"/>
      <c r="O66" s="754"/>
      <c r="P66" s="766" t="s">
        <v>114</v>
      </c>
      <c r="Q66" s="754"/>
      <c r="R66" s="515" t="s">
        <v>114</v>
      </c>
      <c r="S66" s="754"/>
      <c r="T66" s="418" t="s">
        <v>114</v>
      </c>
      <c r="U66" s="754"/>
      <c r="V66" s="524" t="s">
        <v>114</v>
      </c>
      <c r="W66" s="754"/>
      <c r="X66" s="330" t="s">
        <v>114</v>
      </c>
      <c r="Y66" s="1"/>
      <c r="Z66" s="1"/>
      <c r="AA66" s="245">
        <f>MIN(K66,O66,Q66,S66,U66,W66)</f>
        <v>0</v>
      </c>
      <c r="AB66" s="245">
        <f>MAX(K66,O66,Q66,S66,U66,W66,)</f>
        <v>0</v>
      </c>
      <c r="AC66" s="1"/>
      <c r="AD66" s="1"/>
      <c r="AE66" s="1"/>
      <c r="AF66" s="1"/>
      <c r="AG66" s="1"/>
      <c r="AH66" s="1"/>
      <c r="AI66" s="6"/>
      <c r="AJ66" s="6"/>
      <c r="AK66" s="16"/>
      <c r="AL66" s="16"/>
      <c r="AM66" s="17"/>
      <c r="AN66" s="17"/>
      <c r="AO66" s="18"/>
      <c r="AP66" s="18"/>
      <c r="AQ66" s="19"/>
      <c r="AR66" s="19"/>
      <c r="AS66" s="11"/>
      <c r="AT66" s="11"/>
      <c r="AU66" s="1"/>
      <c r="AV66" s="1"/>
      <c r="AW66" s="1"/>
      <c r="AX66" s="1"/>
      <c r="AY66" s="1"/>
      <c r="AZ66" s="1"/>
    </row>
    <row r="67" spans="1:52" s="12" customFormat="1" ht="14.4" customHeight="1" x14ac:dyDescent="0.3">
      <c r="A67" s="1"/>
      <c r="B67" s="1"/>
      <c r="C67" s="1"/>
      <c r="D67" s="1"/>
      <c r="E67" s="215"/>
      <c r="F67" s="46"/>
      <c r="G67" s="46"/>
      <c r="H67" s="46"/>
      <c r="I67" s="46"/>
      <c r="J67" s="48" t="s">
        <v>108</v>
      </c>
      <c r="K67" s="247" t="e">
        <f>I36*K64</f>
        <v>#DIV/0!</v>
      </c>
      <c r="L67" s="385" t="s">
        <v>34</v>
      </c>
      <c r="M67" s="46"/>
      <c r="N67" s="48"/>
      <c r="O67" s="777" t="e">
        <f>O64*AI36</f>
        <v>#DIV/0!</v>
      </c>
      <c r="P67" s="638" t="s">
        <v>34</v>
      </c>
      <c r="Q67" s="685" t="e">
        <f>Q64*AK36</f>
        <v>#DIV/0!</v>
      </c>
      <c r="R67" s="768" t="s">
        <v>34</v>
      </c>
      <c r="S67" s="686" t="e">
        <f>S64*AM36</f>
        <v>#DIV/0!</v>
      </c>
      <c r="T67" s="771" t="s">
        <v>34</v>
      </c>
      <c r="U67" s="687" t="e">
        <f>U64*AO36</f>
        <v>#DIV/0!</v>
      </c>
      <c r="V67" s="774" t="s">
        <v>34</v>
      </c>
      <c r="W67" s="688" t="e">
        <f>W64*AQ36</f>
        <v>#DIV/0!</v>
      </c>
      <c r="X67" s="330" t="s">
        <v>34</v>
      </c>
      <c r="Y67" s="1"/>
      <c r="Z67" s="1"/>
      <c r="AA67" s="1"/>
      <c r="AB67" s="1"/>
      <c r="AC67" s="1"/>
      <c r="AD67" s="1"/>
      <c r="AE67" s="1"/>
      <c r="AF67" s="1"/>
      <c r="AG67" s="1"/>
      <c r="AH67" s="1"/>
      <c r="AI67" s="6"/>
      <c r="AJ67" s="6"/>
      <c r="AK67" s="16"/>
      <c r="AL67" s="16"/>
      <c r="AM67" s="17"/>
      <c r="AN67" s="17"/>
      <c r="AO67" s="18"/>
      <c r="AP67" s="18"/>
      <c r="AQ67" s="19"/>
      <c r="AR67" s="19"/>
      <c r="AS67" s="11"/>
      <c r="AT67" s="11"/>
      <c r="AU67" s="1"/>
      <c r="AV67" s="1"/>
      <c r="AW67" s="1"/>
      <c r="AX67" s="1"/>
      <c r="AY67" s="1"/>
      <c r="AZ67" s="1"/>
    </row>
    <row r="68" spans="1:52" s="12" customFormat="1" ht="14.4" customHeight="1" x14ac:dyDescent="0.3">
      <c r="A68" s="1"/>
      <c r="B68" s="1"/>
      <c r="C68" s="1"/>
      <c r="D68" s="231"/>
      <c r="E68" s="218"/>
      <c r="F68" s="22"/>
      <c r="G68" s="22"/>
      <c r="H68" s="22"/>
      <c r="I68" s="22"/>
      <c r="J68" s="39" t="s">
        <v>109</v>
      </c>
      <c r="K68" s="248" t="e">
        <f>(K65*I37)</f>
        <v>#DIV/0!</v>
      </c>
      <c r="L68" s="385" t="s">
        <v>34</v>
      </c>
      <c r="M68" s="22"/>
      <c r="N68" s="39"/>
      <c r="O68" s="778" t="e">
        <f>O65*AI37</f>
        <v>#DIV/0!</v>
      </c>
      <c r="P68" s="638" t="s">
        <v>34</v>
      </c>
      <c r="Q68" s="697" t="e">
        <f>Q65*AK37</f>
        <v>#DIV/0!</v>
      </c>
      <c r="R68" s="768" t="s">
        <v>34</v>
      </c>
      <c r="S68" s="700" t="e">
        <f>S65*AM37</f>
        <v>#DIV/0!</v>
      </c>
      <c r="T68" s="771" t="s">
        <v>34</v>
      </c>
      <c r="U68" s="703" t="e">
        <f>U65*AO37</f>
        <v>#DIV/0!</v>
      </c>
      <c r="V68" s="774" t="s">
        <v>34</v>
      </c>
      <c r="W68" s="707" t="e">
        <f>W65*AQ37</f>
        <v>#DIV/0!</v>
      </c>
      <c r="X68" s="330" t="s">
        <v>34</v>
      </c>
      <c r="Y68" s="1"/>
      <c r="Z68" s="1"/>
      <c r="AA68" s="1"/>
      <c r="AB68" s="1"/>
      <c r="AC68" s="1"/>
      <c r="AD68" s="1"/>
      <c r="AE68" s="1"/>
      <c r="AF68" s="1"/>
      <c r="AG68" s="1"/>
      <c r="AH68" s="1"/>
      <c r="AI68" s="6"/>
      <c r="AJ68" s="6"/>
      <c r="AK68" s="16"/>
      <c r="AL68" s="16"/>
      <c r="AM68" s="17"/>
      <c r="AN68" s="17"/>
      <c r="AO68" s="18"/>
      <c r="AP68" s="18"/>
      <c r="AQ68" s="19"/>
      <c r="AR68" s="19"/>
      <c r="AS68" s="11"/>
      <c r="AT68" s="11"/>
      <c r="AU68" s="1"/>
      <c r="AV68" s="1"/>
      <c r="AW68" s="1"/>
      <c r="AX68" s="1"/>
      <c r="AY68" s="1"/>
      <c r="AZ68" s="1"/>
    </row>
    <row r="69" spans="1:52" s="12" customFormat="1" ht="14.4" customHeight="1" thickBot="1" x14ac:dyDescent="0.35">
      <c r="A69" s="40"/>
      <c r="B69" s="40"/>
      <c r="C69" s="40"/>
      <c r="D69" s="40"/>
      <c r="E69" s="243"/>
      <c r="F69" s="220"/>
      <c r="G69" s="220"/>
      <c r="H69" s="220"/>
      <c r="I69" s="220"/>
      <c r="J69" s="74" t="s">
        <v>107</v>
      </c>
      <c r="K69" s="249" t="e">
        <f>K66*I38</f>
        <v>#DIV/0!</v>
      </c>
      <c r="L69" s="783" t="s">
        <v>34</v>
      </c>
      <c r="M69" s="72"/>
      <c r="N69" s="74"/>
      <c r="O69" s="779" t="e">
        <f>O66*AI38</f>
        <v>#DIV/0!</v>
      </c>
      <c r="P69" s="640" t="s">
        <v>34</v>
      </c>
      <c r="Q69" s="689" t="e">
        <f>Q66*AK38</f>
        <v>#DIV/0!</v>
      </c>
      <c r="R69" s="769" t="s">
        <v>34</v>
      </c>
      <c r="S69" s="690" t="e">
        <f>S66*AM38</f>
        <v>#DIV/0!</v>
      </c>
      <c r="T69" s="772" t="s">
        <v>34</v>
      </c>
      <c r="U69" s="691" t="e">
        <f>U66*AO38</f>
        <v>#DIV/0!</v>
      </c>
      <c r="V69" s="775" t="s">
        <v>34</v>
      </c>
      <c r="W69" s="692" t="e">
        <f>W66*AQ38</f>
        <v>#DIV/0!</v>
      </c>
      <c r="X69" s="339" t="s">
        <v>34</v>
      </c>
      <c r="Y69" s="1"/>
      <c r="Z69" s="1"/>
      <c r="AA69" s="1"/>
      <c r="AB69" s="1"/>
      <c r="AC69" s="1"/>
      <c r="AD69" s="1"/>
      <c r="AE69" s="1"/>
      <c r="AF69" s="1"/>
      <c r="AG69" s="1"/>
      <c r="AH69" s="1"/>
      <c r="AI69" s="6"/>
      <c r="AJ69" s="6"/>
      <c r="AK69" s="16"/>
      <c r="AL69" s="16"/>
      <c r="AM69" s="17"/>
      <c r="AN69" s="17"/>
      <c r="AO69" s="18"/>
      <c r="AP69" s="18"/>
      <c r="AQ69" s="19"/>
      <c r="AR69" s="19"/>
      <c r="AS69" s="11"/>
      <c r="AT69" s="11"/>
      <c r="AU69" s="1"/>
      <c r="AV69" s="1"/>
      <c r="AW69" s="1"/>
      <c r="AX69" s="1"/>
      <c r="AY69" s="1"/>
      <c r="AZ69" s="1"/>
    </row>
    <row r="70" spans="1:52" s="12" customFormat="1" ht="14.4" customHeight="1" thickBot="1" x14ac:dyDescent="0.35">
      <c r="A70" s="1"/>
      <c r="B70" s="1"/>
      <c r="C70" s="1"/>
      <c r="D70" s="1"/>
      <c r="E70" s="1"/>
      <c r="F70" s="40"/>
      <c r="G70" s="1"/>
      <c r="H70" s="1"/>
      <c r="I70" s="215"/>
      <c r="J70" s="48" t="s">
        <v>86</v>
      </c>
      <c r="K70" s="247" t="e">
        <f>K68+K67+K69</f>
        <v>#DIV/0!</v>
      </c>
      <c r="L70" s="783" t="s">
        <v>34</v>
      </c>
      <c r="M70" s="250"/>
      <c r="N70" s="48" t="s">
        <v>128</v>
      </c>
      <c r="O70" s="679" t="e">
        <f>O67+O68+O69</f>
        <v>#DIV/0!</v>
      </c>
      <c r="P70" s="757" t="s">
        <v>34</v>
      </c>
      <c r="Q70" s="758" t="e">
        <f>Q67+Q68+Q69</f>
        <v>#DIV/0!</v>
      </c>
      <c r="R70" s="759" t="s">
        <v>34</v>
      </c>
      <c r="S70" s="760" t="e">
        <f>S67+S68+S69</f>
        <v>#DIV/0!</v>
      </c>
      <c r="T70" s="761" t="s">
        <v>34</v>
      </c>
      <c r="U70" s="762" t="e">
        <f>U67+U68+U69</f>
        <v>#DIV/0!</v>
      </c>
      <c r="V70" s="763" t="s">
        <v>34</v>
      </c>
      <c r="W70" s="764" t="e">
        <f>W67+W68+W69</f>
        <v>#DIV/0!</v>
      </c>
      <c r="X70" s="342" t="s">
        <v>34</v>
      </c>
      <c r="Y70" s="38"/>
      <c r="Z70" s="1"/>
      <c r="AA70" s="1"/>
      <c r="AB70" s="1"/>
      <c r="AC70" s="1"/>
      <c r="AD70" s="1"/>
      <c r="AE70" s="1"/>
      <c r="AF70" s="1"/>
      <c r="AG70" s="1"/>
      <c r="AH70" s="1"/>
      <c r="AI70" s="6"/>
      <c r="AJ70" s="6"/>
      <c r="AK70" s="16"/>
      <c r="AL70" s="16"/>
      <c r="AM70" s="17"/>
      <c r="AN70" s="17"/>
      <c r="AO70" s="18"/>
      <c r="AP70" s="18"/>
      <c r="AQ70" s="19"/>
      <c r="AR70" s="19"/>
      <c r="AS70" s="11"/>
      <c r="AT70" s="11"/>
      <c r="AU70" s="1"/>
      <c r="AV70" s="1"/>
      <c r="AW70" s="1"/>
      <c r="AX70" s="1"/>
      <c r="AY70" s="1"/>
      <c r="AZ70" s="1"/>
    </row>
    <row r="71" spans="1:52" s="12" customFormat="1" ht="14.4" customHeight="1" thickBot="1" x14ac:dyDescent="0.35">
      <c r="A71" s="1"/>
      <c r="B71" s="231"/>
      <c r="C71" s="231"/>
      <c r="D71" s="1"/>
      <c r="E71" s="1"/>
      <c r="F71" s="40"/>
      <c r="G71" s="1"/>
      <c r="H71" s="1"/>
      <c r="I71" s="251" t="e">
        <f>K70/K71</f>
        <v>#DIV/0!</v>
      </c>
      <c r="J71" s="74" t="s">
        <v>136</v>
      </c>
      <c r="K71" s="788"/>
      <c r="L71" s="789" t="s">
        <v>76</v>
      </c>
      <c r="M71" s="72"/>
      <c r="N71" s="74"/>
      <c r="O71" s="74"/>
      <c r="P71" s="74"/>
      <c r="Q71" s="74"/>
      <c r="R71" s="74"/>
      <c r="S71" s="74"/>
      <c r="T71" s="74"/>
      <c r="U71" s="74"/>
      <c r="V71" s="74"/>
      <c r="W71" s="74"/>
      <c r="X71" s="75"/>
      <c r="Y71" s="38"/>
      <c r="Z71" s="1"/>
      <c r="AA71" s="1"/>
      <c r="AB71" s="1"/>
      <c r="AC71" s="1"/>
      <c r="AD71" s="1"/>
      <c r="AE71" s="1"/>
      <c r="AF71" s="1"/>
      <c r="AG71" s="1"/>
      <c r="AH71" s="1"/>
      <c r="AI71" s="6"/>
      <c r="AJ71" s="6"/>
      <c r="AK71" s="16"/>
      <c r="AL71" s="16"/>
      <c r="AM71" s="17"/>
      <c r="AN71" s="17"/>
      <c r="AO71" s="18"/>
      <c r="AP71" s="18"/>
      <c r="AQ71" s="19"/>
      <c r="AR71" s="19"/>
      <c r="AS71" s="11"/>
      <c r="AT71" s="11"/>
      <c r="AU71" s="1"/>
      <c r="AV71" s="1"/>
      <c r="AW71" s="1"/>
      <c r="AX71" s="1"/>
      <c r="AY71" s="1"/>
      <c r="AZ71" s="1"/>
    </row>
    <row r="72" spans="1:52" s="12" customFormat="1" ht="14.4" customHeight="1" thickBot="1" x14ac:dyDescent="0.35">
      <c r="A72" s="1"/>
      <c r="B72" s="231"/>
      <c r="C72" s="231"/>
      <c r="D72" s="1"/>
      <c r="E72" s="1"/>
      <c r="F72" s="40"/>
      <c r="G72" s="1"/>
      <c r="H72" s="1"/>
      <c r="I72" s="1"/>
      <c r="J72" s="39"/>
      <c r="K72" s="39"/>
      <c r="L72" s="39"/>
      <c r="M72" s="22"/>
      <c r="N72" s="39"/>
      <c r="O72" s="39"/>
      <c r="P72" s="39"/>
      <c r="Q72" s="39"/>
      <c r="R72" s="39"/>
      <c r="S72" s="39"/>
      <c r="T72" s="39"/>
      <c r="U72" s="39"/>
      <c r="V72" s="39"/>
      <c r="W72" s="39"/>
      <c r="X72" s="39"/>
      <c r="Y72" s="38"/>
      <c r="Z72" s="1"/>
      <c r="AA72" s="1"/>
      <c r="AB72" s="1"/>
      <c r="AC72" s="1"/>
      <c r="AD72" s="1"/>
      <c r="AE72" s="1"/>
      <c r="AF72" s="1"/>
      <c r="AG72" s="1"/>
      <c r="AH72" s="1"/>
      <c r="AI72" s="6"/>
      <c r="AJ72" s="6"/>
      <c r="AK72" s="16"/>
      <c r="AL72" s="16"/>
      <c r="AM72" s="17"/>
      <c r="AN72" s="17"/>
      <c r="AO72" s="18"/>
      <c r="AP72" s="18"/>
      <c r="AQ72" s="19"/>
      <c r="AR72" s="19"/>
      <c r="AS72" s="11"/>
      <c r="AT72" s="11"/>
      <c r="AU72" s="1"/>
      <c r="AV72" s="1"/>
      <c r="AW72" s="1"/>
      <c r="AX72" s="1"/>
      <c r="AY72" s="1"/>
      <c r="AZ72" s="1"/>
    </row>
    <row r="73" spans="1:52" s="12" customFormat="1" ht="14.4" customHeight="1" x14ac:dyDescent="0.3">
      <c r="A73" s="1"/>
      <c r="B73" s="1"/>
      <c r="C73" s="1"/>
      <c r="D73" s="1"/>
      <c r="E73" s="1"/>
      <c r="F73" s="215"/>
      <c r="G73" s="46"/>
      <c r="H73" s="46"/>
      <c r="I73" s="46"/>
      <c r="J73" s="48" t="s">
        <v>77</v>
      </c>
      <c r="K73" s="790" t="e">
        <f>I39</f>
        <v>#DIV/0!</v>
      </c>
      <c r="L73" s="791" t="s">
        <v>114</v>
      </c>
      <c r="M73" s="48"/>
      <c r="N73" s="48"/>
      <c r="O73" s="678" t="e">
        <f>AI39</f>
        <v>#DIV/0!</v>
      </c>
      <c r="P73" s="636" t="s">
        <v>114</v>
      </c>
      <c r="Q73" s="670" t="e">
        <f>AK39</f>
        <v>#DIV/0!</v>
      </c>
      <c r="R73" s="794" t="s">
        <v>114</v>
      </c>
      <c r="S73" s="672" t="e">
        <f>AM39</f>
        <v>#DIV/0!</v>
      </c>
      <c r="T73" s="795" t="s">
        <v>114</v>
      </c>
      <c r="U73" s="674" t="e">
        <f>AO39</f>
        <v>#DIV/0!</v>
      </c>
      <c r="V73" s="796" t="s">
        <v>114</v>
      </c>
      <c r="W73" s="676" t="e">
        <f>AQ39</f>
        <v>#DIV/0!</v>
      </c>
      <c r="X73" s="755" t="s">
        <v>114</v>
      </c>
      <c r="Y73" s="1"/>
      <c r="Z73" s="1"/>
      <c r="AA73" s="1"/>
      <c r="AB73" s="1"/>
      <c r="AC73" s="1"/>
      <c r="AD73" s="1"/>
      <c r="AE73" s="1"/>
      <c r="AF73" s="1"/>
      <c r="AG73" s="1"/>
      <c r="AH73" s="1"/>
      <c r="AI73" s="6"/>
      <c r="AJ73" s="6"/>
      <c r="AK73" s="16"/>
      <c r="AL73" s="16"/>
      <c r="AM73" s="17"/>
      <c r="AN73" s="17"/>
      <c r="AO73" s="18"/>
      <c r="AP73" s="18"/>
      <c r="AQ73" s="19"/>
      <c r="AR73" s="19"/>
      <c r="AS73" s="11"/>
      <c r="AT73" s="11"/>
      <c r="AU73" s="1"/>
      <c r="AV73" s="1"/>
      <c r="AW73" s="1"/>
      <c r="AX73" s="1"/>
      <c r="AY73" s="1"/>
      <c r="AZ73" s="1"/>
    </row>
    <row r="74" spans="1:52" s="12" customFormat="1" ht="14.4" customHeight="1" thickBot="1" x14ac:dyDescent="0.35">
      <c r="A74" s="1"/>
      <c r="B74" s="1"/>
      <c r="C74" s="1"/>
      <c r="D74" s="1"/>
      <c r="E74" s="1"/>
      <c r="F74" s="219"/>
      <c r="G74" s="72"/>
      <c r="H74" s="72"/>
      <c r="I74" s="72"/>
      <c r="J74" s="74" t="s">
        <v>122</v>
      </c>
      <c r="K74" s="792" t="e">
        <f>I37+I38+I36</f>
        <v>#DIV/0!</v>
      </c>
      <c r="L74" s="793" t="s">
        <v>114</v>
      </c>
      <c r="M74" s="74"/>
      <c r="N74" s="74"/>
      <c r="O74" s="679" t="e">
        <f>AI36+AI38+AI37</f>
        <v>#DIV/0!</v>
      </c>
      <c r="P74" s="640" t="s">
        <v>114</v>
      </c>
      <c r="Q74" s="671" t="e">
        <f>AK36+AK38+AK37</f>
        <v>#DIV/0!</v>
      </c>
      <c r="R74" s="769" t="s">
        <v>114</v>
      </c>
      <c r="S74" s="673" t="e">
        <f>AM36+AM38+AM37</f>
        <v>#DIV/0!</v>
      </c>
      <c r="T74" s="772" t="s">
        <v>114</v>
      </c>
      <c r="U74" s="675" t="e">
        <f>AO36+AO38+AO37</f>
        <v>#DIV/0!</v>
      </c>
      <c r="V74" s="775" t="s">
        <v>114</v>
      </c>
      <c r="W74" s="677" t="e">
        <f>AQ36+AQ38+AQ37</f>
        <v>#DIV/0!</v>
      </c>
      <c r="X74" s="756" t="s">
        <v>114</v>
      </c>
      <c r="Y74" s="1"/>
      <c r="Z74" s="1"/>
      <c r="AA74" s="1"/>
      <c r="AB74" s="1"/>
      <c r="AC74" s="1"/>
      <c r="AD74" s="1"/>
      <c r="AE74" s="1"/>
      <c r="AF74" s="1"/>
      <c r="AG74" s="1"/>
      <c r="AH74" s="1"/>
      <c r="AI74" s="6"/>
      <c r="AJ74" s="6"/>
      <c r="AK74" s="16"/>
      <c r="AL74" s="16"/>
      <c r="AM74" s="17"/>
      <c r="AN74" s="17"/>
      <c r="AO74" s="18"/>
      <c r="AP74" s="18"/>
      <c r="AQ74" s="19"/>
      <c r="AR74" s="19"/>
      <c r="AS74" s="11"/>
      <c r="AT74" s="11"/>
      <c r="AU74" s="1"/>
      <c r="AV74" s="1"/>
      <c r="AW74" s="1"/>
      <c r="AX74" s="1"/>
      <c r="AY74" s="1"/>
      <c r="AZ74" s="1"/>
    </row>
    <row r="75" spans="1:52" s="12" customFormat="1" ht="14.4" customHeight="1" x14ac:dyDescent="0.3">
      <c r="A75" s="1"/>
      <c r="B75" s="1"/>
      <c r="C75" s="1"/>
      <c r="D75" s="1"/>
      <c r="E75" s="1"/>
      <c r="F75" s="22"/>
      <c r="G75" s="22"/>
      <c r="H75" s="22"/>
      <c r="I75" s="22"/>
      <c r="J75" s="39"/>
      <c r="K75" s="39"/>
      <c r="L75" s="39"/>
      <c r="M75" s="39"/>
      <c r="N75" s="39"/>
      <c r="O75" s="39"/>
      <c r="P75" s="39"/>
      <c r="Q75" s="39"/>
      <c r="R75" s="39"/>
      <c r="S75" s="39"/>
      <c r="T75" s="39"/>
      <c r="U75" s="39"/>
      <c r="V75" s="39"/>
      <c r="W75" s="39"/>
      <c r="X75" s="39"/>
      <c r="Y75" s="1"/>
      <c r="Z75" s="1"/>
      <c r="AA75" s="1"/>
      <c r="AB75" s="1"/>
      <c r="AC75" s="1"/>
      <c r="AD75" s="1"/>
      <c r="AE75" s="1"/>
      <c r="AF75" s="1"/>
      <c r="AG75" s="1"/>
      <c r="AH75" s="1"/>
      <c r="AI75" s="6"/>
      <c r="AJ75" s="6"/>
      <c r="AK75" s="16"/>
      <c r="AL75" s="16"/>
      <c r="AM75" s="17"/>
      <c r="AN75" s="17"/>
      <c r="AO75" s="18"/>
      <c r="AP75" s="18"/>
      <c r="AQ75" s="19"/>
      <c r="AR75" s="19"/>
      <c r="AS75" s="11"/>
      <c r="AT75" s="11"/>
      <c r="AU75" s="1"/>
      <c r="AV75" s="1"/>
      <c r="AW75" s="1"/>
      <c r="AX75" s="1"/>
      <c r="AY75" s="1"/>
      <c r="AZ75" s="1"/>
    </row>
    <row r="76" spans="1:52" s="12" customFormat="1" ht="14.4" customHeight="1" thickBot="1" x14ac:dyDescent="0.35">
      <c r="A76" s="1"/>
      <c r="B76" s="42" t="s">
        <v>227</v>
      </c>
      <c r="C76" s="1"/>
      <c r="D76" s="1"/>
      <c r="E76" s="1"/>
      <c r="F76" s="1"/>
      <c r="G76" s="1"/>
      <c r="H76" s="1"/>
      <c r="J76" s="1"/>
      <c r="K76" s="1"/>
      <c r="L76" s="1"/>
      <c r="M76" s="1"/>
      <c r="N76" s="1"/>
      <c r="O76" s="1"/>
      <c r="P76" s="1"/>
      <c r="Q76" s="1"/>
      <c r="R76" s="1"/>
      <c r="S76" s="1"/>
      <c r="T76" s="1"/>
      <c r="U76" s="1"/>
      <c r="V76" s="1"/>
      <c r="W76" s="1"/>
      <c r="X76" s="1"/>
      <c r="Y76" s="1"/>
      <c r="Z76" s="1"/>
      <c r="AA76" s="1"/>
      <c r="AB76" s="1"/>
      <c r="AC76" s="1"/>
      <c r="AD76" s="1"/>
      <c r="AE76" s="1"/>
      <c r="AF76" s="1"/>
      <c r="AG76" s="1"/>
      <c r="AH76" s="1"/>
      <c r="AI76" s="6"/>
      <c r="AJ76" s="6"/>
      <c r="AK76" s="16"/>
      <c r="AL76" s="16"/>
      <c r="AM76" s="17"/>
      <c r="AN76" s="17"/>
      <c r="AO76" s="18"/>
      <c r="AP76" s="18"/>
      <c r="AQ76" s="19"/>
      <c r="AR76" s="19"/>
      <c r="AS76" s="11"/>
      <c r="AT76" s="11"/>
      <c r="AU76" s="1"/>
      <c r="AV76" s="1"/>
      <c r="AW76" s="1"/>
      <c r="AX76" s="1"/>
      <c r="AY76" s="1"/>
      <c r="AZ76" s="1"/>
    </row>
    <row r="77" spans="1:52" s="12" customFormat="1" ht="14.4" customHeight="1" x14ac:dyDescent="0.3">
      <c r="A77" s="1"/>
      <c r="B77" s="1"/>
      <c r="C77" s="1"/>
      <c r="D77" s="1"/>
      <c r="E77" s="1"/>
      <c r="F77" s="14"/>
      <c r="G77" s="13"/>
      <c r="H77" s="252"/>
      <c r="I77" s="252"/>
      <c r="J77" s="252"/>
      <c r="K77" s="252"/>
      <c r="L77" s="252"/>
      <c r="M77" s="252" t="s">
        <v>139</v>
      </c>
      <c r="N77" s="253"/>
      <c r="O77" s="680" t="e">
        <f>($K70-O68-O67-O69)</f>
        <v>#DIV/0!</v>
      </c>
      <c r="P77" s="744" t="s">
        <v>34</v>
      </c>
      <c r="Q77" s="711" t="e">
        <f>($K70-Q68-Q67-Q69)</f>
        <v>#DIV/0!</v>
      </c>
      <c r="R77" s="745" t="s">
        <v>34</v>
      </c>
      <c r="S77" s="720" t="e">
        <f>($K70-S68-S67-S69)</f>
        <v>#DIV/0!</v>
      </c>
      <c r="T77" s="746" t="s">
        <v>34</v>
      </c>
      <c r="U77" s="728" t="e">
        <f>($K70-U68-U67-U69)</f>
        <v>#DIV/0!</v>
      </c>
      <c r="V77" s="747" t="s">
        <v>34</v>
      </c>
      <c r="W77" s="736" t="e">
        <f>($K70-W68-W67-W69)</f>
        <v>#DIV/0!</v>
      </c>
      <c r="X77" s="748" t="s">
        <v>34</v>
      </c>
      <c r="Y77" s="1"/>
      <c r="Z77" s="1"/>
      <c r="AA77" s="1"/>
      <c r="AB77" s="1"/>
      <c r="AC77" s="1"/>
      <c r="AD77" s="1"/>
      <c r="AE77" s="1"/>
      <c r="AF77" s="1"/>
      <c r="AG77" s="1"/>
      <c r="AH77" s="1"/>
      <c r="AI77" s="6"/>
      <c r="AJ77" s="6"/>
      <c r="AK77" s="16"/>
      <c r="AL77" s="16"/>
      <c r="AM77" s="17"/>
      <c r="AN77" s="17"/>
      <c r="AO77" s="18"/>
      <c r="AP77" s="18"/>
      <c r="AQ77" s="19"/>
      <c r="AR77" s="19"/>
      <c r="AS77" s="11"/>
      <c r="AT77" s="11"/>
      <c r="AU77" s="1"/>
      <c r="AV77" s="1"/>
      <c r="AW77" s="1"/>
      <c r="AX77" s="1"/>
      <c r="AY77" s="1"/>
      <c r="AZ77" s="1"/>
    </row>
    <row r="78" spans="1:52" s="12" customFormat="1" ht="14.4" customHeight="1" x14ac:dyDescent="0.3">
      <c r="A78" s="1"/>
      <c r="B78" s="1"/>
      <c r="C78" s="1"/>
      <c r="D78" s="254"/>
      <c r="E78" s="1"/>
      <c r="F78" s="21"/>
      <c r="G78" s="22"/>
      <c r="H78" s="39"/>
      <c r="I78" s="39"/>
      <c r="J78" s="39"/>
      <c r="K78" s="39"/>
      <c r="L78" s="39"/>
      <c r="M78" s="39" t="s">
        <v>70</v>
      </c>
      <c r="N78" s="255"/>
      <c r="O78" s="681" t="e">
        <f>O77/($K70-O77)</f>
        <v>#DIV/0!</v>
      </c>
      <c r="P78" s="717"/>
      <c r="Q78" s="712" t="e">
        <f>Q77/($K70-Q77)</f>
        <v>#DIV/0!</v>
      </c>
      <c r="R78" s="726"/>
      <c r="S78" s="721" t="e">
        <f>S77/($K70-S77)</f>
        <v>#DIV/0!</v>
      </c>
      <c r="T78" s="734"/>
      <c r="U78" s="729" t="e">
        <f>U77/($K70-U77)</f>
        <v>#DIV/0!</v>
      </c>
      <c r="V78" s="742"/>
      <c r="W78" s="737" t="e">
        <f>W77/($K70-W77)</f>
        <v>#DIV/0!</v>
      </c>
      <c r="X78" s="749"/>
      <c r="Y78" s="1"/>
      <c r="Z78" s="1"/>
      <c r="AA78" s="1"/>
      <c r="AB78" s="1"/>
      <c r="AC78" s="1"/>
      <c r="AD78" s="1"/>
      <c r="AE78" s="1"/>
      <c r="AF78" s="1"/>
      <c r="AG78" s="1"/>
      <c r="AH78" s="1"/>
      <c r="AI78" s="6"/>
      <c r="AJ78" s="6"/>
      <c r="AK78" s="16"/>
      <c r="AL78" s="16"/>
      <c r="AM78" s="17"/>
      <c r="AN78" s="17"/>
      <c r="AO78" s="18"/>
      <c r="AP78" s="18"/>
      <c r="AQ78" s="19"/>
      <c r="AR78" s="19"/>
      <c r="AS78" s="11"/>
      <c r="AT78" s="11"/>
      <c r="AU78" s="1"/>
      <c r="AV78" s="1"/>
      <c r="AW78" s="1"/>
      <c r="AX78" s="1"/>
      <c r="AY78" s="1"/>
      <c r="AZ78" s="1"/>
    </row>
    <row r="79" spans="1:52" s="12" customFormat="1" ht="14.4" customHeight="1" x14ac:dyDescent="0.3">
      <c r="A79" s="1"/>
      <c r="B79" s="1"/>
      <c r="C79" s="1"/>
      <c r="D79" s="254"/>
      <c r="E79" s="1"/>
      <c r="F79" s="256"/>
      <c r="G79" s="72"/>
      <c r="H79" s="74"/>
      <c r="I79" s="74"/>
      <c r="J79" s="74"/>
      <c r="K79" s="74"/>
      <c r="L79" s="74"/>
      <c r="M79" s="74" t="s">
        <v>145</v>
      </c>
      <c r="N79" s="257"/>
      <c r="O79" s="682" t="e">
        <f>(1-(O78*-1))*O61</f>
        <v>#DIV/0!</v>
      </c>
      <c r="P79" s="716" t="s">
        <v>114</v>
      </c>
      <c r="Q79" s="713" t="e">
        <f>(1-(Q78*-1))*Q61</f>
        <v>#DIV/0!</v>
      </c>
      <c r="R79" s="725" t="s">
        <v>114</v>
      </c>
      <c r="S79" s="722" t="e">
        <f>(1-(S78*-1))*S61</f>
        <v>#DIV/0!</v>
      </c>
      <c r="T79" s="733" t="s">
        <v>114</v>
      </c>
      <c r="U79" s="730" t="e">
        <f>(1-(U78*-1))*U61</f>
        <v>#DIV/0!</v>
      </c>
      <c r="V79" s="741" t="s">
        <v>114</v>
      </c>
      <c r="W79" s="738" t="e">
        <f>(1-(W78*-1))*W61</f>
        <v>#DIV/0!</v>
      </c>
      <c r="X79" s="749" t="s">
        <v>114</v>
      </c>
      <c r="Y79" s="1"/>
      <c r="Z79" s="1"/>
      <c r="AA79" s="1"/>
      <c r="AB79" s="1"/>
      <c r="AC79" s="1"/>
      <c r="AD79" s="1"/>
      <c r="AE79" s="1"/>
      <c r="AF79" s="1"/>
      <c r="AG79" s="1"/>
      <c r="AH79" s="1"/>
      <c r="AI79" s="6"/>
      <c r="AJ79" s="6"/>
      <c r="AK79" s="16"/>
      <c r="AL79" s="16"/>
      <c r="AM79" s="17"/>
      <c r="AN79" s="17"/>
      <c r="AO79" s="18"/>
      <c r="AP79" s="18"/>
      <c r="AQ79" s="19"/>
      <c r="AR79" s="19"/>
      <c r="AS79" s="11"/>
      <c r="AT79" s="11"/>
      <c r="AU79" s="1"/>
      <c r="AV79" s="1"/>
      <c r="AW79" s="1"/>
      <c r="AX79" s="1"/>
      <c r="AY79" s="1"/>
      <c r="AZ79" s="1"/>
    </row>
    <row r="80" spans="1:52" s="12" customFormat="1" ht="14.4" customHeight="1" x14ac:dyDescent="0.3">
      <c r="A80" s="1"/>
      <c r="B80" s="1"/>
      <c r="C80" s="1"/>
      <c r="D80" s="254"/>
      <c r="E80" s="1"/>
      <c r="F80" s="21"/>
      <c r="G80" s="22"/>
      <c r="H80" s="22"/>
      <c r="I80" s="39"/>
      <c r="J80" s="39"/>
      <c r="K80" s="39"/>
      <c r="L80" s="39"/>
      <c r="M80" s="39" t="s">
        <v>220</v>
      </c>
      <c r="N80" s="255"/>
      <c r="O80" s="683" t="e">
        <f>O79/O62</f>
        <v>#DIV/0!</v>
      </c>
      <c r="P80" s="716" t="s">
        <v>114</v>
      </c>
      <c r="Q80" s="714" t="e">
        <f>Q79/Q62</f>
        <v>#DIV/0!</v>
      </c>
      <c r="R80" s="725" t="s">
        <v>114</v>
      </c>
      <c r="S80" s="723" t="e">
        <f>S79/S62</f>
        <v>#DIV/0!</v>
      </c>
      <c r="T80" s="733" t="s">
        <v>114</v>
      </c>
      <c r="U80" s="731" t="e">
        <f>U79/U62</f>
        <v>#DIV/0!</v>
      </c>
      <c r="V80" s="741" t="s">
        <v>114</v>
      </c>
      <c r="W80" s="739" t="e">
        <f>W79/W62</f>
        <v>#DIV/0!</v>
      </c>
      <c r="X80" s="749" t="s">
        <v>114</v>
      </c>
      <c r="Y80" s="1"/>
      <c r="Z80" s="1"/>
      <c r="AA80" s="1"/>
      <c r="AB80" s="1"/>
      <c r="AC80" s="1"/>
      <c r="AD80" s="1"/>
      <c r="AE80" s="1"/>
      <c r="AF80" s="1"/>
      <c r="AG80" s="1"/>
      <c r="AH80" s="1"/>
      <c r="AI80" s="6"/>
      <c r="AJ80" s="6"/>
      <c r="AK80" s="16"/>
      <c r="AL80" s="16"/>
      <c r="AM80" s="17"/>
      <c r="AN80" s="17"/>
      <c r="AO80" s="18"/>
      <c r="AP80" s="18"/>
      <c r="AQ80" s="19"/>
      <c r="AR80" s="19"/>
      <c r="AS80" s="11"/>
      <c r="AT80" s="11"/>
      <c r="AU80" s="1"/>
      <c r="AV80" s="1"/>
      <c r="AW80" s="1"/>
      <c r="AX80" s="1"/>
      <c r="AY80" s="1"/>
      <c r="AZ80" s="1"/>
    </row>
    <row r="81" spans="1:52" s="12" customFormat="1" ht="14.4" customHeight="1" x14ac:dyDescent="0.3">
      <c r="A81" s="1"/>
      <c r="B81" s="1"/>
      <c r="C81" s="1"/>
      <c r="D81" s="254"/>
      <c r="E81" s="1"/>
      <c r="F81" s="21"/>
      <c r="G81" s="22"/>
      <c r="H81" s="22"/>
      <c r="I81" s="39"/>
      <c r="J81" s="39"/>
      <c r="K81" s="39"/>
      <c r="L81" s="39"/>
      <c r="M81" s="39" t="s">
        <v>123</v>
      </c>
      <c r="N81" s="255"/>
      <c r="O81" s="683" t="e">
        <f>($K70-O68-O69)/O64</f>
        <v>#DIV/0!</v>
      </c>
      <c r="P81" s="716" t="s">
        <v>114</v>
      </c>
      <c r="Q81" s="714" t="e">
        <f>($K70-Q68-Q69)/Q64</f>
        <v>#DIV/0!</v>
      </c>
      <c r="R81" s="725" t="s">
        <v>114</v>
      </c>
      <c r="S81" s="723" t="e">
        <f>($K70-S68-S69)/S64</f>
        <v>#DIV/0!</v>
      </c>
      <c r="T81" s="733" t="s">
        <v>114</v>
      </c>
      <c r="U81" s="731" t="e">
        <f>($K70-U68-U69)/U64</f>
        <v>#DIV/0!</v>
      </c>
      <c r="V81" s="741" t="s">
        <v>114</v>
      </c>
      <c r="W81" s="739" t="e">
        <f>($K70-W68-W69)/W64</f>
        <v>#DIV/0!</v>
      </c>
      <c r="X81" s="749" t="s">
        <v>114</v>
      </c>
      <c r="Y81" s="1"/>
      <c r="Z81" s="1"/>
      <c r="AA81" s="1"/>
      <c r="AB81" s="1"/>
      <c r="AC81" s="1"/>
      <c r="AD81" s="1"/>
      <c r="AE81" s="1"/>
      <c r="AF81" s="1"/>
      <c r="AG81" s="1"/>
      <c r="AH81" s="1"/>
      <c r="AI81" s="6"/>
      <c r="AJ81" s="6"/>
      <c r="AK81" s="16"/>
      <c r="AL81" s="16"/>
      <c r="AM81" s="17"/>
      <c r="AN81" s="17"/>
      <c r="AO81" s="18"/>
      <c r="AP81" s="18"/>
      <c r="AQ81" s="19"/>
      <c r="AR81" s="19"/>
      <c r="AS81" s="11"/>
      <c r="AT81" s="11"/>
      <c r="AU81" s="1"/>
      <c r="AV81" s="1"/>
      <c r="AW81" s="1"/>
      <c r="AX81" s="1"/>
      <c r="AY81" s="1"/>
      <c r="AZ81" s="1"/>
    </row>
    <row r="82" spans="1:52" s="12" customFormat="1" ht="14.4" customHeight="1" x14ac:dyDescent="0.3">
      <c r="A82" s="1"/>
      <c r="B82" s="1"/>
      <c r="C82" s="1"/>
      <c r="D82" s="254"/>
      <c r="E82" s="1"/>
      <c r="F82" s="256"/>
      <c r="G82" s="72"/>
      <c r="H82" s="72"/>
      <c r="I82" s="39"/>
      <c r="J82" s="39"/>
      <c r="K82" s="39"/>
      <c r="L82" s="39"/>
      <c r="M82" s="39" t="s">
        <v>146</v>
      </c>
      <c r="N82" s="257"/>
      <c r="O82" s="682" t="e">
        <f>K70/O64</f>
        <v>#DIV/0!</v>
      </c>
      <c r="P82" s="716" t="s">
        <v>114</v>
      </c>
      <c r="Q82" s="713" t="e">
        <f>K70/Q64</f>
        <v>#DIV/0!</v>
      </c>
      <c r="R82" s="725" t="s">
        <v>114</v>
      </c>
      <c r="S82" s="722" t="e">
        <f>K70/S64</f>
        <v>#DIV/0!</v>
      </c>
      <c r="T82" s="733" t="s">
        <v>114</v>
      </c>
      <c r="U82" s="730" t="e">
        <f>K70/U64</f>
        <v>#DIV/0!</v>
      </c>
      <c r="V82" s="741" t="s">
        <v>114</v>
      </c>
      <c r="W82" s="738" t="e">
        <f>K70/W64</f>
        <v>#DIV/0!</v>
      </c>
      <c r="X82" s="750" t="s">
        <v>114</v>
      </c>
      <c r="Y82" s="1"/>
      <c r="Z82" s="1"/>
      <c r="AA82" s="1"/>
      <c r="AB82" s="1"/>
      <c r="AC82" s="1"/>
      <c r="AD82" s="1"/>
      <c r="AE82" s="1"/>
      <c r="AF82" s="1"/>
      <c r="AG82" s="1"/>
      <c r="AH82" s="1"/>
      <c r="AI82" s="6"/>
      <c r="AJ82" s="6"/>
      <c r="AK82" s="16"/>
      <c r="AL82" s="16"/>
      <c r="AM82" s="17"/>
      <c r="AN82" s="17"/>
      <c r="AO82" s="18"/>
      <c r="AP82" s="18"/>
      <c r="AQ82" s="19"/>
      <c r="AR82" s="19"/>
      <c r="AS82" s="11"/>
      <c r="AT82" s="11"/>
      <c r="AU82" s="1"/>
      <c r="AV82" s="1"/>
      <c r="AW82" s="1"/>
      <c r="AX82" s="1"/>
      <c r="AY82" s="1"/>
      <c r="AZ82" s="1"/>
    </row>
    <row r="83" spans="1:52" s="12" customFormat="1" ht="14.4" customHeight="1" x14ac:dyDescent="0.3">
      <c r="A83" s="1"/>
      <c r="B83" s="1"/>
      <c r="C83" s="1"/>
      <c r="D83" s="1"/>
      <c r="E83" s="1"/>
      <c r="F83" s="258"/>
      <c r="G83" s="46"/>
      <c r="H83" s="46"/>
      <c r="I83" s="46"/>
      <c r="J83" s="46"/>
      <c r="K83" s="48"/>
      <c r="L83" s="48"/>
      <c r="M83" s="48" t="s">
        <v>87</v>
      </c>
      <c r="N83" s="48"/>
      <c r="O83" s="684" t="e">
        <f>O77/$K71*-1</f>
        <v>#DIV/0!</v>
      </c>
      <c r="P83" s="278" t="s">
        <v>215</v>
      </c>
      <c r="Q83" s="51" t="e">
        <f>Q77/$K71*-1</f>
        <v>#DIV/0!</v>
      </c>
      <c r="R83" s="279" t="s">
        <v>215</v>
      </c>
      <c r="S83" s="52" t="e">
        <f>S77/$K71*-1</f>
        <v>#DIV/0!</v>
      </c>
      <c r="T83" s="280" t="s">
        <v>215</v>
      </c>
      <c r="U83" s="53" t="e">
        <f>U77/$K71*-1</f>
        <v>#DIV/0!</v>
      </c>
      <c r="V83" s="281" t="s">
        <v>215</v>
      </c>
      <c r="W83" s="54" t="e">
        <f>W77/$K71*-1</f>
        <v>#DIV/0!</v>
      </c>
      <c r="X83" s="751" t="s">
        <v>215</v>
      </c>
      <c r="Y83" s="1"/>
      <c r="Z83" s="1"/>
      <c r="AA83" s="1"/>
      <c r="AB83" s="1"/>
      <c r="AC83" s="1"/>
      <c r="AD83" s="1"/>
      <c r="AE83" s="1"/>
      <c r="AF83" s="1"/>
      <c r="AG83" s="1"/>
      <c r="AH83" s="1"/>
      <c r="AI83" s="6"/>
      <c r="AJ83" s="6"/>
      <c r="AK83" s="16"/>
      <c r="AL83" s="16"/>
      <c r="AM83" s="17"/>
      <c r="AN83" s="17"/>
      <c r="AO83" s="18"/>
      <c r="AP83" s="18"/>
      <c r="AQ83" s="19"/>
      <c r="AR83" s="19"/>
      <c r="AS83" s="11"/>
      <c r="AT83" s="11"/>
      <c r="AU83" s="1"/>
      <c r="AV83" s="1"/>
      <c r="AW83" s="1"/>
      <c r="AX83" s="1"/>
      <c r="AY83" s="1"/>
      <c r="AZ83" s="1"/>
    </row>
    <row r="84" spans="1:52" s="12" customFormat="1" ht="14.4" customHeight="1" x14ac:dyDescent="0.3">
      <c r="A84" s="1"/>
      <c r="B84" s="1"/>
      <c r="C84" s="1"/>
      <c r="D84" s="1"/>
      <c r="E84" s="1"/>
      <c r="F84" s="21"/>
      <c r="G84" s="22"/>
      <c r="H84" s="22"/>
      <c r="I84" s="22"/>
      <c r="J84" s="22"/>
      <c r="K84" s="39"/>
      <c r="L84" s="39"/>
      <c r="M84" s="39" t="s">
        <v>69</v>
      </c>
      <c r="N84" s="39"/>
      <c r="O84" s="710"/>
      <c r="P84" s="718" t="s">
        <v>114</v>
      </c>
      <c r="Q84" s="719"/>
      <c r="R84" s="727" t="s">
        <v>114</v>
      </c>
      <c r="S84" s="719"/>
      <c r="T84" s="735" t="s">
        <v>114</v>
      </c>
      <c r="U84" s="719"/>
      <c r="V84" s="743" t="s">
        <v>114</v>
      </c>
      <c r="W84" s="719"/>
      <c r="X84" s="751" t="s">
        <v>114</v>
      </c>
      <c r="Y84" s="1"/>
      <c r="Z84" s="1"/>
      <c r="AA84" s="1"/>
      <c r="AB84" s="1"/>
      <c r="AC84" s="1"/>
      <c r="AD84" s="1"/>
      <c r="AE84" s="1"/>
      <c r="AF84" s="1"/>
      <c r="AG84" s="1"/>
      <c r="AH84" s="1"/>
      <c r="AI84" s="6"/>
      <c r="AJ84" s="6"/>
      <c r="AK84" s="16"/>
      <c r="AL84" s="16"/>
      <c r="AM84" s="17"/>
      <c r="AN84" s="17"/>
      <c r="AO84" s="18"/>
      <c r="AP84" s="18"/>
      <c r="AQ84" s="19"/>
      <c r="AR84" s="19"/>
      <c r="AS84" s="11"/>
      <c r="AT84" s="11"/>
      <c r="AU84" s="1"/>
      <c r="AV84" s="1"/>
      <c r="AW84" s="1"/>
      <c r="AX84" s="1"/>
      <c r="AY84" s="1"/>
      <c r="AZ84" s="1"/>
    </row>
    <row r="85" spans="1:52" s="12" customFormat="1" ht="14.4" customHeight="1" thickBot="1" x14ac:dyDescent="0.35">
      <c r="A85" s="1"/>
      <c r="B85" s="1"/>
      <c r="C85" s="1"/>
      <c r="D85" s="1"/>
      <c r="E85" s="1"/>
      <c r="F85" s="24"/>
      <c r="G85" s="25"/>
      <c r="H85" s="25"/>
      <c r="I85" s="25"/>
      <c r="J85" s="25"/>
      <c r="K85" s="260"/>
      <c r="L85" s="260"/>
      <c r="M85" s="260" t="s">
        <v>56</v>
      </c>
      <c r="N85" s="260"/>
      <c r="O85" s="679" t="e">
        <f>O60/O84</f>
        <v>#DIV/0!</v>
      </c>
      <c r="P85" s="288"/>
      <c r="Q85" s="715" t="e">
        <f>Q60/Q84</f>
        <v>#DIV/0!</v>
      </c>
      <c r="R85" s="289"/>
      <c r="S85" s="724" t="e">
        <f>S60/S84</f>
        <v>#DIV/0!</v>
      </c>
      <c r="T85" s="290"/>
      <c r="U85" s="732" t="e">
        <f>U60/U84</f>
        <v>#DIV/0!</v>
      </c>
      <c r="V85" s="291"/>
      <c r="W85" s="740" t="e">
        <f>W60/W84</f>
        <v>#DIV/0!</v>
      </c>
      <c r="X85" s="752"/>
      <c r="Y85" s="1"/>
      <c r="Z85" s="1"/>
      <c r="AA85" s="1"/>
      <c r="AB85" s="1"/>
      <c r="AC85" s="1"/>
      <c r="AD85" s="1"/>
      <c r="AE85" s="1"/>
      <c r="AF85" s="1"/>
      <c r="AG85" s="1"/>
      <c r="AH85" s="1"/>
      <c r="AI85" s="6"/>
      <c r="AJ85" s="6"/>
      <c r="AK85" s="16"/>
      <c r="AL85" s="16"/>
      <c r="AM85" s="17"/>
      <c r="AN85" s="17"/>
      <c r="AO85" s="18"/>
      <c r="AP85" s="18"/>
      <c r="AQ85" s="19"/>
      <c r="AR85" s="19"/>
      <c r="AS85" s="11"/>
      <c r="AT85" s="11"/>
      <c r="AU85" s="1"/>
      <c r="AV85" s="1"/>
      <c r="AW85" s="1"/>
      <c r="AX85" s="1"/>
      <c r="AY85" s="1"/>
      <c r="AZ85" s="1"/>
    </row>
    <row r="86" spans="1:52" s="12" customFormat="1" ht="14.4" hidden="1" customHeight="1" x14ac:dyDescent="0.3"/>
    <row r="87" spans="1:52" s="12" customFormat="1" ht="14.4" customHeight="1" x14ac:dyDescent="0.3"/>
    <row r="88" spans="1:52" s="12" customFormat="1" ht="14.4" customHeight="1" x14ac:dyDescent="0.3">
      <c r="A88" s="1"/>
      <c r="B88" s="42" t="s">
        <v>228</v>
      </c>
      <c r="C88" s="1"/>
      <c r="D88" s="1"/>
      <c r="E88" s="1"/>
      <c r="F88" s="1"/>
      <c r="G88" s="1"/>
      <c r="H88" s="1"/>
      <c r="I88" s="1"/>
      <c r="J88" s="38"/>
      <c r="K88" s="38"/>
      <c r="L88" s="38"/>
      <c r="M88" s="38"/>
      <c r="N88" s="38"/>
      <c r="O88" s="38"/>
      <c r="P88" s="38"/>
      <c r="Q88" s="38"/>
      <c r="R88" s="38"/>
      <c r="S88" s="38"/>
      <c r="T88" s="38"/>
      <c r="U88" s="38"/>
      <c r="V88" s="38"/>
      <c r="W88" s="38"/>
      <c r="X88" s="38"/>
      <c r="Y88" s="1"/>
      <c r="Z88" s="1"/>
      <c r="AA88" s="1"/>
      <c r="AB88" s="1"/>
      <c r="AC88" s="1"/>
      <c r="AD88" s="1"/>
      <c r="AE88" s="1"/>
      <c r="AF88" s="1"/>
      <c r="AG88" s="1"/>
      <c r="AH88" s="1"/>
      <c r="AI88" s="6"/>
      <c r="AJ88" s="6"/>
      <c r="AK88" s="16"/>
      <c r="AL88" s="16"/>
      <c r="AM88" s="17"/>
      <c r="AN88" s="17"/>
      <c r="AO88" s="18"/>
      <c r="AP88" s="18"/>
      <c r="AQ88" s="19"/>
      <c r="AR88" s="19"/>
      <c r="AS88" s="11"/>
      <c r="AT88" s="11"/>
      <c r="AU88" s="1"/>
      <c r="AV88" s="1"/>
      <c r="AW88" s="1"/>
      <c r="AX88" s="1"/>
      <c r="AY88" s="1"/>
      <c r="AZ88" s="1"/>
    </row>
    <row r="89" spans="1:52" s="12" customFormat="1" ht="14.4" customHeight="1" x14ac:dyDescent="0.3">
      <c r="E89" s="1314" t="s">
        <v>218</v>
      </c>
      <c r="F89" s="1315"/>
      <c r="G89" s="1315"/>
      <c r="H89" s="1315"/>
      <c r="I89" s="1316"/>
      <c r="J89" s="261"/>
      <c r="K89" s="261"/>
      <c r="L89" s="261"/>
      <c r="M89" s="261"/>
      <c r="N89" s="261"/>
      <c r="O89" s="376"/>
      <c r="V89" s="1"/>
      <c r="W89" s="1"/>
      <c r="X89" s="1"/>
      <c r="Y89" s="1"/>
      <c r="Z89" s="1"/>
      <c r="AA89" s="1"/>
      <c r="AB89" s="1"/>
      <c r="AC89" s="1"/>
      <c r="AD89" s="1"/>
      <c r="AE89" s="1"/>
      <c r="AF89" s="1"/>
      <c r="AG89" s="1"/>
      <c r="AH89" s="1"/>
      <c r="AI89" s="6"/>
      <c r="AJ89" s="6"/>
      <c r="AK89" s="16"/>
      <c r="AL89" s="16"/>
      <c r="AM89" s="17"/>
      <c r="AN89" s="17"/>
      <c r="AO89" s="18"/>
      <c r="AP89" s="18"/>
      <c r="AQ89" s="19"/>
      <c r="AR89" s="19"/>
      <c r="AS89" s="11"/>
      <c r="AT89" s="11"/>
      <c r="AU89" s="1"/>
      <c r="AV89" s="1"/>
      <c r="AW89" s="1"/>
      <c r="AX89" s="1"/>
      <c r="AY89" s="1"/>
      <c r="AZ89" s="1"/>
    </row>
    <row r="90" spans="1:52" s="12" customFormat="1" ht="14.4" customHeight="1" x14ac:dyDescent="0.3">
      <c r="A90" s="1"/>
      <c r="B90" s="1"/>
      <c r="C90" s="1"/>
      <c r="D90" s="1"/>
      <c r="E90" s="1317" t="s">
        <v>219</v>
      </c>
      <c r="F90" s="1317"/>
      <c r="G90" s="1317"/>
      <c r="H90" s="1317"/>
      <c r="I90" s="1317"/>
      <c r="J90" s="212"/>
      <c r="K90" s="223"/>
      <c r="L90" s="224"/>
      <c r="M90" s="1"/>
      <c r="O90" s="44"/>
      <c r="P90" s="12" t="s">
        <v>34</v>
      </c>
      <c r="Q90" s="27" t="s">
        <v>221</v>
      </c>
      <c r="R90" s="1"/>
      <c r="S90" s="1"/>
      <c r="T90" s="1"/>
      <c r="U90" s="1"/>
      <c r="V90" s="1"/>
      <c r="W90" s="1"/>
      <c r="X90" s="1"/>
      <c r="Y90" s="1"/>
      <c r="Z90" s="1"/>
      <c r="AA90" s="1" t="s">
        <v>102</v>
      </c>
      <c r="AB90" s="1"/>
      <c r="AC90" s="1"/>
      <c r="AD90" s="1"/>
      <c r="AE90" s="263">
        <v>2</v>
      </c>
      <c r="AF90" s="1"/>
      <c r="AG90" s="1"/>
      <c r="AH90" s="1"/>
      <c r="AI90" s="6"/>
      <c r="AJ90" s="6"/>
      <c r="AK90" s="16"/>
      <c r="AL90" s="16"/>
      <c r="AM90" s="17"/>
      <c r="AN90" s="17"/>
      <c r="AO90" s="18"/>
      <c r="AP90" s="18"/>
      <c r="AQ90" s="19"/>
      <c r="AR90" s="19"/>
      <c r="AS90" s="11"/>
      <c r="AT90" s="11"/>
      <c r="AU90" s="1"/>
      <c r="AV90" s="1"/>
      <c r="AW90" s="1"/>
      <c r="AX90" s="1"/>
      <c r="AY90" s="1"/>
      <c r="AZ90" s="1"/>
    </row>
    <row r="91" spans="1:52" s="12" customFormat="1" ht="14.4" customHeight="1" x14ac:dyDescent="0.3">
      <c r="A91" s="1"/>
      <c r="B91" s="1"/>
      <c r="C91" s="1"/>
      <c r="D91" s="1"/>
      <c r="E91" s="1318"/>
      <c r="F91" s="1318"/>
      <c r="G91" s="1318"/>
      <c r="H91" s="1318"/>
      <c r="I91" s="1318"/>
      <c r="J91" s="212"/>
      <c r="K91" s="223"/>
      <c r="L91" s="224"/>
      <c r="Y91" s="1"/>
      <c r="Z91" s="1"/>
      <c r="AA91" s="1" t="s">
        <v>104</v>
      </c>
      <c r="AB91" s="1"/>
      <c r="AC91" s="1"/>
      <c r="AD91" s="1"/>
      <c r="AE91" s="1"/>
      <c r="AF91" s="1"/>
      <c r="AG91" s="1"/>
      <c r="AH91" s="1"/>
      <c r="AI91" s="6"/>
      <c r="AJ91" s="6"/>
      <c r="AK91" s="16"/>
      <c r="AL91" s="16"/>
      <c r="AM91" s="17"/>
      <c r="AN91" s="17"/>
      <c r="AO91" s="18"/>
      <c r="AP91" s="18"/>
      <c r="AQ91" s="19"/>
      <c r="AR91" s="19"/>
      <c r="AS91" s="11"/>
      <c r="AT91" s="11"/>
      <c r="AU91" s="1"/>
      <c r="AV91" s="1"/>
      <c r="AW91" s="1"/>
      <c r="AX91" s="1"/>
      <c r="AY91" s="1"/>
      <c r="AZ91" s="1"/>
    </row>
    <row r="92" spans="1:52" s="12" customFormat="1" ht="14.4" customHeight="1" thickBot="1" x14ac:dyDescent="0.35">
      <c r="A92" s="1"/>
      <c r="B92" s="1"/>
      <c r="C92" s="1"/>
      <c r="D92" s="1"/>
      <c r="I92" s="264" t="s">
        <v>101</v>
      </c>
      <c r="J92" s="1319" t="str">
        <f>IF(AE90=1,AA90,IF(AE90=2,AA91,IF(AE90=3,AA92,IF(AE90=4,AA93,ERROR))))</f>
        <v>2. Remodel Existing &amp; Add Space (to produce same number of pigs)</v>
      </c>
      <c r="K92" s="1320"/>
      <c r="L92" s="1320"/>
      <c r="M92" s="1320"/>
      <c r="N92" s="1320"/>
      <c r="O92" s="1320"/>
      <c r="P92" s="1320"/>
      <c r="Q92" s="1320"/>
      <c r="R92" s="1320"/>
      <c r="S92" s="1342"/>
      <c r="U92" s="1"/>
      <c r="V92" s="1"/>
      <c r="W92" s="1"/>
      <c r="X92" s="1"/>
      <c r="Y92" s="1"/>
      <c r="Z92" s="1"/>
      <c r="AA92" s="1" t="s">
        <v>251</v>
      </c>
      <c r="AB92" s="1"/>
      <c r="AC92" s="1"/>
      <c r="AD92" s="1"/>
      <c r="AE92" s="1"/>
      <c r="AF92" s="1"/>
      <c r="AG92" s="1"/>
      <c r="AH92" s="1"/>
      <c r="AI92" s="6"/>
      <c r="AJ92" s="6"/>
      <c r="AK92" s="16"/>
      <c r="AL92" s="16"/>
      <c r="AM92" s="17"/>
      <c r="AN92" s="17"/>
      <c r="AO92" s="18"/>
      <c r="AP92" s="18"/>
      <c r="AQ92" s="19"/>
      <c r="AR92" s="19"/>
      <c r="AS92" s="11"/>
      <c r="AT92" s="11"/>
      <c r="AU92" s="1"/>
      <c r="AV92" s="1"/>
      <c r="AW92" s="1"/>
      <c r="AX92" s="1"/>
      <c r="AY92" s="1"/>
      <c r="AZ92" s="1"/>
    </row>
    <row r="93" spans="1:52" s="12" customFormat="1" ht="14.4" customHeight="1" thickBot="1" x14ac:dyDescent="0.35">
      <c r="A93" s="1"/>
      <c r="B93" s="1"/>
      <c r="C93" s="1"/>
      <c r="D93" s="1"/>
      <c r="G93" s="981"/>
      <c r="H93" s="981"/>
      <c r="I93" s="981"/>
      <c r="J93" s="982" t="s">
        <v>262</v>
      </c>
      <c r="K93" s="980">
        <f>K181</f>
        <v>0</v>
      </c>
      <c r="L93" s="1162" t="s">
        <v>114</v>
      </c>
      <c r="M93" s="38"/>
      <c r="N93" s="1104"/>
      <c r="O93" s="1197" t="e">
        <f>O181</f>
        <v>#DIV/0!</v>
      </c>
      <c r="P93" s="1198" t="s">
        <v>114</v>
      </c>
      <c r="Q93" s="1199" t="e">
        <f>Q181</f>
        <v>#DIV/0!</v>
      </c>
      <c r="R93" s="1200" t="s">
        <v>114</v>
      </c>
      <c r="S93" s="1199" t="e">
        <f>S181</f>
        <v>#DIV/0!</v>
      </c>
      <c r="T93" s="1201" t="s">
        <v>114</v>
      </c>
      <c r="U93" s="1199" t="e">
        <f>U181</f>
        <v>#DIV/0!</v>
      </c>
      <c r="V93" s="1202" t="s">
        <v>114</v>
      </c>
      <c r="W93" s="1199" t="e">
        <f>W181</f>
        <v>#DIV/0!</v>
      </c>
      <c r="X93" s="1203" t="s">
        <v>114</v>
      </c>
      <c r="Y93" s="1"/>
      <c r="Z93" s="1"/>
      <c r="AA93" s="1" t="s">
        <v>103</v>
      </c>
      <c r="AB93" s="1"/>
      <c r="AC93" s="1"/>
      <c r="AD93" s="1"/>
      <c r="AE93" s="1"/>
      <c r="AF93" s="1"/>
      <c r="AG93" s="1"/>
      <c r="AH93" s="1"/>
      <c r="AI93" s="6"/>
      <c r="AJ93" s="6"/>
      <c r="AK93" s="16"/>
      <c r="AL93" s="16"/>
      <c r="AM93" s="17"/>
      <c r="AN93" s="17"/>
      <c r="AO93" s="18"/>
      <c r="AP93" s="18"/>
      <c r="AQ93" s="19"/>
      <c r="AR93" s="19"/>
      <c r="AS93" s="11"/>
      <c r="AT93" s="11"/>
      <c r="AU93" s="1"/>
      <c r="AV93" s="1"/>
      <c r="AW93" s="1"/>
      <c r="AX93" s="1"/>
      <c r="AY93" s="1"/>
      <c r="AZ93" s="1"/>
    </row>
    <row r="94" spans="1:52" s="12" customFormat="1" ht="14.4" customHeight="1" thickBot="1" x14ac:dyDescent="0.35">
      <c r="A94" s="1"/>
      <c r="B94" s="1"/>
      <c r="C94" s="1"/>
      <c r="D94" s="1"/>
      <c r="E94" s="265" t="s">
        <v>118</v>
      </c>
      <c r="F94" s="1"/>
      <c r="G94" s="1"/>
      <c r="H94" s="38"/>
      <c r="I94" s="262"/>
      <c r="J94" s="212"/>
      <c r="K94" s="223"/>
      <c r="L94" s="224"/>
      <c r="M94" s="38"/>
      <c r="N94" s="38"/>
      <c r="O94" s="633" t="str">
        <f>O56</f>
        <v>1. Floor Feeding</v>
      </c>
      <c r="P94" s="634"/>
      <c r="Q94" s="641" t="str">
        <f>Q56</f>
        <v xml:space="preserve">2. Short Stalls </v>
      </c>
      <c r="R94" s="642"/>
      <c r="S94" s="649" t="str">
        <f>S56</f>
        <v>3. Trickle Feeding</v>
      </c>
      <c r="T94" s="650"/>
      <c r="U94" s="657" t="str">
        <f>U56</f>
        <v>4. Elec Sow Feeding</v>
      </c>
      <c r="V94" s="658"/>
      <c r="W94" s="665" t="str">
        <f>W56</f>
        <v>5. Free Access Stalls</v>
      </c>
      <c r="X94" s="666"/>
      <c r="Y94" s="1"/>
      <c r="Z94" s="1"/>
      <c r="AA94" s="1" t="s">
        <v>105</v>
      </c>
      <c r="AB94" s="1"/>
      <c r="AC94" s="1"/>
      <c r="AD94" s="1"/>
      <c r="AE94" s="1"/>
      <c r="AF94" s="1"/>
      <c r="AG94" s="1"/>
      <c r="AH94" s="1"/>
      <c r="AI94" s="6"/>
      <c r="AJ94" s="6"/>
      <c r="AK94" s="16"/>
      <c r="AL94" s="16"/>
      <c r="AM94" s="17"/>
      <c r="AN94" s="17"/>
      <c r="AO94" s="18"/>
      <c r="AP94" s="18"/>
      <c r="AQ94" s="19"/>
      <c r="AR94" s="19"/>
      <c r="AS94" s="11"/>
      <c r="AT94" s="11"/>
      <c r="AU94" s="1"/>
      <c r="AV94" s="1"/>
      <c r="AW94" s="1"/>
      <c r="AX94" s="1"/>
      <c r="AY94" s="1"/>
      <c r="AZ94" s="1"/>
    </row>
    <row r="95" spans="1:52" s="12" customFormat="1" ht="14.4" customHeight="1" x14ac:dyDescent="0.3">
      <c r="A95" s="1"/>
      <c r="E95" s="223"/>
      <c r="F95" s="1"/>
      <c r="G95" s="266" t="str">
        <f>AB95</f>
        <v>Sow Gestation Housing</v>
      </c>
      <c r="H95" s="267"/>
      <c r="I95" s="268"/>
      <c r="J95" s="268"/>
      <c r="K95" s="269" t="e">
        <f>IF(AA95,I36,0)</f>
        <v>#DIV/0!</v>
      </c>
      <c r="L95" s="269" t="s">
        <v>114</v>
      </c>
      <c r="M95" s="270"/>
      <c r="N95" s="252"/>
      <c r="O95" s="635" t="e">
        <f>IF($AA95,(IF($AE$90=1,AI36*(1+O$78),IF($AE$90=2,AI36,IF($AE$90=3,AI36,IF($AE$90=4,AI36,"ERROR"))))),0)</f>
        <v>#DIV/0!</v>
      </c>
      <c r="P95" s="636" t="s">
        <v>114</v>
      </c>
      <c r="Q95" s="643" t="e">
        <f>IF($AA95,(IF($AE$90=1,AK36*(1+Q$78),IF($AE$90=2,AK36,IF($AE$90=3,AK36,IF($AE$90=4,AK36,"ERROR"))))),0)</f>
        <v>#DIV/0!</v>
      </c>
      <c r="R95" s="644" t="s">
        <v>114</v>
      </c>
      <c r="S95" s="651" t="e">
        <f>IF($AA95,(IF($AE$90=1,AM36*(1+S$78),IF($AE$90=2,AM36,IF($AE$90=3,AM36,IF($AE$90=4,AM36,"ERROR"))))),0)</f>
        <v>#DIV/0!</v>
      </c>
      <c r="T95" s="652" t="s">
        <v>114</v>
      </c>
      <c r="U95" s="659" t="e">
        <f>IF($AA95,(IF($AE$90=1,AO36*(1+U$78),IF($AE$90=2,AO36,IF($AE$90=3,AO36,IF($AE$90=4,AO36,"ERROR"))))),0)</f>
        <v>#DIV/0!</v>
      </c>
      <c r="V95" s="660" t="s">
        <v>114</v>
      </c>
      <c r="W95" s="667" t="e">
        <f>IF($AA95,(IF($AE$90=1,AQ36*(1+W$78),IF($AE$90=2,AQ36,IF($AE$90=3,AQ36,IF($AE$90=4,AQ36,"ERROR"))))),0)</f>
        <v>#DIV/0!</v>
      </c>
      <c r="X95" s="271" t="s">
        <v>114</v>
      </c>
      <c r="Y95" s="1"/>
      <c r="Z95" s="1"/>
      <c r="AA95" s="263" t="b">
        <v>1</v>
      </c>
      <c r="AB95" s="1" t="s">
        <v>112</v>
      </c>
      <c r="AC95" s="1"/>
      <c r="AD95" s="1"/>
      <c r="AE95" s="212" t="str">
        <f>IF(AA95=TRUE,IF(AA64&gt;14,"OK","ERROR"))</f>
        <v>ERROR</v>
      </c>
      <c r="AF95" s="212" t="b">
        <f>IF(AA95=FALSE,IF(AB64&lt;1,"OK","ERROR"))</f>
        <v>0</v>
      </c>
      <c r="AG95" s="212"/>
      <c r="AH95" s="1"/>
      <c r="AI95" s="6"/>
      <c r="AJ95" s="272" t="str">
        <f>AB95</f>
        <v>Sow Gestation Housing</v>
      </c>
      <c r="AK95" s="16" t="e">
        <f>IF($AE$90=1,AI36*(1+O$78),IF($AE$90=2,AI36,IF($AE$90=3,AI36,IF($AE$90=4,AI36,"ERROR"))))</f>
        <v>#DIV/0!</v>
      </c>
      <c r="AL95" s="16"/>
      <c r="AM95" s="17" t="e">
        <f>IF($AE$90=1,AK36*(1+Q$78),IF($AE$90=2,AK36,IF($AE$90=3,AK36,IF($AE$90=4,AK36,"ERROR"))))</f>
        <v>#DIV/0!</v>
      </c>
      <c r="AN95" s="17"/>
      <c r="AO95" s="18" t="e">
        <f>IF($AE$90=1,AM36*(1+S$78),IF($AE$90=2,AM36,IF($AE$90=3,AM36,IF($AE$90=4,AM36,"ERROR"))))</f>
        <v>#DIV/0!</v>
      </c>
      <c r="AP95" s="18"/>
      <c r="AQ95" s="19" t="e">
        <f>IF($AE$90=1,AO36*(1+U$78),IF($AE$90=2,AO36,IF($AE$90=3,AO36,IF($AE$90=4,AO36,"ERROR"))))</f>
        <v>#DIV/0!</v>
      </c>
      <c r="AR95" s="19"/>
      <c r="AS95" s="11" t="e">
        <f>IF($AE$90=1,AQ36*(1+W$78),IF($AE$90=2,AQ36,IF($AE$90=3,AQ36,IF($AE$90=4,AQ36,"ERROR"))))</f>
        <v>#DIV/0!</v>
      </c>
      <c r="AT95" s="11"/>
      <c r="AU95" s="1"/>
      <c r="AV95" s="1"/>
      <c r="AW95" s="1"/>
      <c r="AX95" s="1"/>
      <c r="AY95" s="1"/>
      <c r="AZ95" s="1"/>
    </row>
    <row r="96" spans="1:52" s="12" customFormat="1" ht="14.4" customHeight="1" x14ac:dyDescent="0.3">
      <c r="A96" s="1"/>
      <c r="E96" s="223"/>
      <c r="F96" s="1"/>
      <c r="G96" s="273" t="str">
        <f>AB96</f>
        <v>Sow Pre-Gestation Housing</v>
      </c>
      <c r="H96" s="274"/>
      <c r="I96" s="275"/>
      <c r="J96" s="275"/>
      <c r="K96" s="276" t="e">
        <f>IF($AA96,I37,0)</f>
        <v>#DIV/0!</v>
      </c>
      <c r="L96" s="276" t="s">
        <v>114</v>
      </c>
      <c r="M96" s="277"/>
      <c r="N96" s="39"/>
      <c r="O96" s="637" t="e">
        <f>IF($AA96,(IF($AE$90=1,AI37*(1+O$78),IF($AE$90=2,AI37,IF($AE$90=3,AI37,IF($AE$90=4,AI37,"ERROR"))))),0)</f>
        <v>#DIV/0!</v>
      </c>
      <c r="P96" s="638" t="s">
        <v>114</v>
      </c>
      <c r="Q96" s="645" t="e">
        <f>IF($AA96,(IF($AE$90=1,AK37*(1+Q$78),IF($AE$90=2,AK37,IF($AE$90=3,AK37,IF($AE$90=4,AK37,"ERROR"))))),0)</f>
        <v>#DIV/0!</v>
      </c>
      <c r="R96" s="646" t="s">
        <v>114</v>
      </c>
      <c r="S96" s="653" t="e">
        <f>IF($AA96,(IF($AE$90=1,AM37*(1+S$78),IF($AE$90=2,AM37,IF($AE$90=3,AM37,IF($AE$90=4,AM37,"ERROR"))))),0)</f>
        <v>#DIV/0!</v>
      </c>
      <c r="T96" s="654" t="s">
        <v>114</v>
      </c>
      <c r="U96" s="661" t="e">
        <f>IF($AA96,(IF($AE$90=1,AO37*(1+U$78),IF($AE$90=2,AO37,IF($AE$90=3,AO37,IF($AE$90=4,AO37,"ERROR"))))),0)</f>
        <v>#DIV/0!</v>
      </c>
      <c r="V96" s="662" t="s">
        <v>114</v>
      </c>
      <c r="W96" s="668" t="e">
        <f>IF($AA96,(IF($AE$90=1,AQ37*(1+W$78),IF($AE$90=2,AQ37,IF($AE$90=3,AQ37,IF($AE$90=4,AQ37,"ERROR"))))),0)</f>
        <v>#DIV/0!</v>
      </c>
      <c r="X96" s="282" t="s">
        <v>114</v>
      </c>
      <c r="Y96" s="1"/>
      <c r="Z96" s="1"/>
      <c r="AA96" s="263" t="b">
        <v>1</v>
      </c>
      <c r="AB96" s="1" t="s">
        <v>113</v>
      </c>
      <c r="AC96" s="1"/>
      <c r="AD96" s="1"/>
      <c r="AE96" s="212" t="str">
        <f>IF(AA96=TRUE,IF(AA65&gt;14,"OK","ERROR"))</f>
        <v>ERROR</v>
      </c>
      <c r="AF96" s="212" t="b">
        <f>IF(AA96=FALSE,IF(AB65&lt;1,"OK","ERROR"))</f>
        <v>0</v>
      </c>
      <c r="AG96" s="212"/>
      <c r="AH96" s="1"/>
      <c r="AI96" s="6"/>
      <c r="AJ96" s="272" t="str">
        <f>AB96</f>
        <v>Sow Pre-Gestation Housing</v>
      </c>
      <c r="AK96" s="16" t="e">
        <f>IF($AE$90=1,AI37*(1+O$78),IF($AE$90=2,AI37,IF($AE$90=3,AI37,IF($AE$90=4,AI37,"ERROR"))))</f>
        <v>#DIV/0!</v>
      </c>
      <c r="AL96" s="16"/>
      <c r="AM96" s="17" t="e">
        <f>IF($AE$90=1,AK37*(1+Q$78),IF($AE$90=2,AK37,IF($AE$90=3,AK37,IF($AE$90=4,AK37,"ERROR"))))</f>
        <v>#DIV/0!</v>
      </c>
      <c r="AN96" s="17"/>
      <c r="AO96" s="18" t="e">
        <f>IF($AE$90=1,AM37*(1+S$78),IF($AE$90=2,AM37,IF($AE$90=3,AM37,IF($AE$90=4,AM37,"ERROR"))))</f>
        <v>#DIV/0!</v>
      </c>
      <c r="AP96" s="18"/>
      <c r="AQ96" s="19" t="e">
        <f>IF($AE$90=1,AO37*(1+U$78),IF($AE$90=2,AO37,IF($AE$90=3,AO37,IF($AE$90=4,AO37,"ERROR"))))</f>
        <v>#DIV/0!</v>
      </c>
      <c r="AR96" s="19"/>
      <c r="AS96" s="11" t="e">
        <f>IF($AE$90=1,AQ37*(1+W$78),IF($AE$90=2,AQ37,IF($AE$90=3,AQ37,IF($AE$90=4,AQ37,"ERROR"))))</f>
        <v>#DIV/0!</v>
      </c>
      <c r="AT96" s="11"/>
      <c r="AU96" s="1"/>
      <c r="AV96" s="1"/>
      <c r="AW96" s="1"/>
      <c r="AX96" s="1"/>
      <c r="AY96" s="1"/>
      <c r="AZ96" s="1"/>
    </row>
    <row r="97" spans="1:52" s="12" customFormat="1" ht="14.4" customHeight="1" thickBot="1" x14ac:dyDescent="0.35">
      <c r="A97" s="1"/>
      <c r="E97" s="223"/>
      <c r="F97" s="1"/>
      <c r="G97" s="283" t="str">
        <f>AB97</f>
        <v>Replacement Gilt Housing</v>
      </c>
      <c r="H97" s="284"/>
      <c r="I97" s="285"/>
      <c r="J97" s="285"/>
      <c r="K97" s="286" t="e">
        <f>IF($AA97,I38,0)</f>
        <v>#DIV/0!</v>
      </c>
      <c r="L97" s="286" t="s">
        <v>114</v>
      </c>
      <c r="M97" s="287"/>
      <c r="N97" s="260"/>
      <c r="O97" s="639" t="e">
        <f>IF($AA97,(IF($AE$90=1,AI38*(1+O$78),IF($AE$90=2,AI38,IF($AE$90=3,AI38,IF($AE$90=4,AI38,"ERROR"))))),0)</f>
        <v>#DIV/0!</v>
      </c>
      <c r="P97" s="640" t="s">
        <v>114</v>
      </c>
      <c r="Q97" s="647" t="e">
        <f>IF($AA97,(IF($AE$90=1,AK38*(1+Q$78),IF($AE$90=2,AK38,IF($AE$90=3,AK38,IF($AE$90=4,AK38,"ERROR"))))),0)</f>
        <v>#DIV/0!</v>
      </c>
      <c r="R97" s="648" t="s">
        <v>114</v>
      </c>
      <c r="S97" s="655" t="e">
        <f>IF($AA97,(IF($AE$90=1,AM38*(1+S$78),IF($AE$90=2,AM38,IF($AE$90=3,AM38,IF($AE$90=4,AM38,"ERROR"))))),0)</f>
        <v>#DIV/0!</v>
      </c>
      <c r="T97" s="656" t="s">
        <v>114</v>
      </c>
      <c r="U97" s="663" t="e">
        <f>IF($AA97,(IF($AE$90=1,AO38*(1+U$78),IF($AE$90=2,AO38,IF($AE$90=3,AO38,IF($AE$90=4,AO38,"ERROR"))))),0)</f>
        <v>#DIV/0!</v>
      </c>
      <c r="V97" s="664" t="s">
        <v>114</v>
      </c>
      <c r="W97" s="669" t="e">
        <f>IF($AA97,(IF($AE$90=1,AQ38*(1+W$78),IF($AE$90=2,AQ38,IF($AE$90=3,AQ38,IF($AE$90=4,AQ38,"ERROR"))))),0)</f>
        <v>#DIV/0!</v>
      </c>
      <c r="X97" s="292" t="s">
        <v>114</v>
      </c>
      <c r="Y97" s="1"/>
      <c r="Z97" s="1"/>
      <c r="AA97" s="263" t="b">
        <v>1</v>
      </c>
      <c r="AB97" s="1" t="s">
        <v>111</v>
      </c>
      <c r="AC97" s="1"/>
      <c r="AD97" s="1"/>
      <c r="AE97" s="212" t="str">
        <f>IF(AA97=TRUE,IF(AA66&gt;14,"OK","ERROR"))</f>
        <v>ERROR</v>
      </c>
      <c r="AF97" s="212" t="b">
        <f>IF(AA97=FALSE,IF(AB66&lt;1,"OK","ERROR"))</f>
        <v>0</v>
      </c>
      <c r="AG97" s="212"/>
      <c r="AH97" s="1"/>
      <c r="AI97" s="6"/>
      <c r="AJ97" s="272" t="str">
        <f>AB97</f>
        <v>Replacement Gilt Housing</v>
      </c>
      <c r="AK97" s="16" t="e">
        <f>IF($AE$90=1,AI38*(1+O$78),IF($AE$90=2,AI38,IF($AE$90=3,AI38,IF($AE$90=4,AI38,"ERROR"))))</f>
        <v>#DIV/0!</v>
      </c>
      <c r="AL97" s="16"/>
      <c r="AM97" s="17" t="e">
        <f>IF($AE$90=1,AK38*(1+Q$78),IF($AE$90=2,AK38,IF($AE$90=3,AK38,IF($AE$90=4,AK38,"ERROR"))))</f>
        <v>#DIV/0!</v>
      </c>
      <c r="AN97" s="17"/>
      <c r="AO97" s="18" t="e">
        <f>IF($AE$90=1,AM38*(1+S$78),IF($AE$90=2,AM38,IF($AE$90=3,AM38,IF($AE$90=4,AM38,"ERROR"))))</f>
        <v>#DIV/0!</v>
      </c>
      <c r="AP97" s="18"/>
      <c r="AQ97" s="19" t="e">
        <f>IF($AE$90=1,AO38*(1+U$78),IF($AE$90=2,AO38,IF($AE$90=3,AO38,IF($AE$90=4,AO38,"ERROR"))))</f>
        <v>#DIV/0!</v>
      </c>
      <c r="AR97" s="19"/>
      <c r="AS97" s="11" t="e">
        <f>IF($AE$90=1,AQ38*(1+W$78),IF($AE$90=2,AQ38,IF($AE$90=3,AQ38,IF($AE$90=4,AQ38,"ERROR"))))</f>
        <v>#DIV/0!</v>
      </c>
      <c r="AT97" s="11"/>
      <c r="AU97" s="1"/>
      <c r="AV97" s="1"/>
      <c r="AW97" s="1"/>
      <c r="AX97" s="1"/>
      <c r="AY97" s="1"/>
      <c r="AZ97" s="1"/>
    </row>
    <row r="98" spans="1:52" s="12" customFormat="1" ht="14.4" customHeight="1" thickBot="1" x14ac:dyDescent="0.35">
      <c r="A98" s="1"/>
      <c r="B98" s="38"/>
      <c r="C98" s="262"/>
      <c r="D98" s="1"/>
      <c r="E98" s="223"/>
      <c r="F98" s="1"/>
      <c r="G98" s="27"/>
      <c r="H98" s="1"/>
      <c r="I98" s="1"/>
      <c r="J98" s="38" t="s">
        <v>122</v>
      </c>
      <c r="K98" s="293" t="e">
        <f>SUM(K95:K97)</f>
        <v>#DIV/0!</v>
      </c>
      <c r="L98" s="294" t="s">
        <v>114</v>
      </c>
      <c r="M98" s="252"/>
      <c r="N98" s="252"/>
      <c r="O98" s="635" t="e">
        <f>SUM(O95:O97)</f>
        <v>#DIV/0!</v>
      </c>
      <c r="P98" s="636" t="s">
        <v>114</v>
      </c>
      <c r="Q98" s="643" t="e">
        <f>SUM(Q95:Q97)</f>
        <v>#DIV/0!</v>
      </c>
      <c r="R98" s="644" t="s">
        <v>114</v>
      </c>
      <c r="S98" s="651" t="e">
        <f>SUM(S95:S97)</f>
        <v>#DIV/0!</v>
      </c>
      <c r="T98" s="652" t="s">
        <v>114</v>
      </c>
      <c r="U98" s="659" t="e">
        <f>SUM(U95:U97)</f>
        <v>#DIV/0!</v>
      </c>
      <c r="V98" s="660" t="s">
        <v>114</v>
      </c>
      <c r="W98" s="667" t="e">
        <f>SUM(W95:W97)</f>
        <v>#DIV/0!</v>
      </c>
      <c r="X98" s="271" t="s">
        <v>114</v>
      </c>
      <c r="Y98" s="1"/>
      <c r="Z98" s="1"/>
      <c r="AA98" s="1"/>
      <c r="AB98" s="1"/>
      <c r="AC98" s="1"/>
      <c r="AD98" s="1"/>
      <c r="AE98" s="212"/>
      <c r="AF98" s="1"/>
      <c r="AG98" s="1"/>
      <c r="AH98" s="295"/>
      <c r="AI98" s="296"/>
      <c r="AJ98" s="297" t="str">
        <f>J98</f>
        <v>Total Females (Not in Farrowing)</v>
      </c>
      <c r="AK98" s="298" t="e">
        <f>SUM(AK95:AK97)</f>
        <v>#DIV/0!</v>
      </c>
      <c r="AL98" s="298"/>
      <c r="AM98" s="299" t="e">
        <f>SUM(AM95:AM97)</f>
        <v>#DIV/0!</v>
      </c>
      <c r="AN98" s="299"/>
      <c r="AO98" s="300" t="e">
        <f>SUM(AO95:AO97)</f>
        <v>#DIV/0!</v>
      </c>
      <c r="AP98" s="300"/>
      <c r="AQ98" s="301" t="e">
        <f>SUM(AQ95:AQ97)</f>
        <v>#DIV/0!</v>
      </c>
      <c r="AR98" s="301"/>
      <c r="AS98" s="302" t="e">
        <f>SUM(AS95:AS97)</f>
        <v>#DIV/0!</v>
      </c>
      <c r="AT98" s="303"/>
      <c r="AU98" s="1"/>
      <c r="AV98" s="1"/>
      <c r="AW98" s="1"/>
      <c r="AX98" s="1"/>
      <c r="AY98" s="1"/>
      <c r="AZ98" s="1"/>
    </row>
    <row r="99" spans="1:52" s="12" customFormat="1" ht="14.4" customHeight="1" x14ac:dyDescent="0.3">
      <c r="A99" s="1"/>
      <c r="B99" s="38"/>
      <c r="C99" s="262"/>
      <c r="D99" s="1"/>
      <c r="E99" s="40" t="str">
        <f>IF(AE95="ERROR",AA99,IF(AE96="ERROR",AA99,IF(AE97="ERROR",AA99,IF(AF95="ERROR",AA99,IF(AF96="ERROR",AA99,IF(AF97="ERROR",AA99,""))))))</f>
        <v>CAUTION! There is an inconsistency in the female space allocations lines 65, 66, and 67</v>
      </c>
      <c r="F99" s="1"/>
      <c r="G99" s="1"/>
      <c r="H99" s="1"/>
      <c r="I99" s="1"/>
      <c r="J99" s="1"/>
      <c r="K99" s="304" t="s">
        <v>117</v>
      </c>
      <c r="L99" s="192"/>
      <c r="M99" s="193"/>
      <c r="N99" s="193"/>
      <c r="O99" s="637" t="e">
        <f>O95*O64+O96*O65+O97*O66</f>
        <v>#DIV/0!</v>
      </c>
      <c r="P99" s="638" t="s">
        <v>34</v>
      </c>
      <c r="Q99" s="645" t="e">
        <f>Q95*Q64+Q96*Q65+Q97*Q66</f>
        <v>#DIV/0!</v>
      </c>
      <c r="R99" s="646" t="s">
        <v>34</v>
      </c>
      <c r="S99" s="653" t="e">
        <f>S95*S64+S96*S65+S97*S66</f>
        <v>#DIV/0!</v>
      </c>
      <c r="T99" s="654" t="s">
        <v>34</v>
      </c>
      <c r="U99" s="661" t="e">
        <f>U95*U64+U96*U65+U97*U66</f>
        <v>#DIV/0!</v>
      </c>
      <c r="V99" s="662" t="s">
        <v>34</v>
      </c>
      <c r="W99" s="668" t="e">
        <f>W95*W64+W96*W65+W97*W66</f>
        <v>#DIV/0!</v>
      </c>
      <c r="X99" s="282" t="s">
        <v>34</v>
      </c>
      <c r="Y99" s="40"/>
      <c r="Z99" s="1"/>
      <c r="AA99" s="40" t="s">
        <v>158</v>
      </c>
      <c r="AB99" s="1"/>
      <c r="AC99" s="1"/>
      <c r="AD99" s="1"/>
      <c r="AE99" s="1"/>
      <c r="AF99" s="1"/>
      <c r="AG99" s="1"/>
      <c r="AH99" s="1"/>
      <c r="AI99" s="6"/>
      <c r="AJ99" s="305" t="str">
        <f>K99</f>
        <v>Total Building Space Needed</v>
      </c>
      <c r="AK99" s="16" t="e">
        <f>AK95*O64+AK96*O65+AK97*O66</f>
        <v>#DIV/0!</v>
      </c>
      <c r="AL99" s="16"/>
      <c r="AM99" s="17" t="e">
        <f>AM95*Q64+AM96*Q65+AM97*Q66</f>
        <v>#DIV/0!</v>
      </c>
      <c r="AN99" s="17"/>
      <c r="AO99" s="18" t="e">
        <f>AO95*S64+AO96*S65+AO97*S66</f>
        <v>#DIV/0!</v>
      </c>
      <c r="AP99" s="18"/>
      <c r="AQ99" s="19" t="e">
        <f>AQ95*U64+AQ96*U65+AQ97*U66</f>
        <v>#DIV/0!</v>
      </c>
      <c r="AR99" s="19"/>
      <c r="AS99" s="11" t="e">
        <f>AS95*W64+AS96*W65+AS97*W66</f>
        <v>#DIV/0!</v>
      </c>
      <c r="AT99" s="11"/>
      <c r="AU99" s="1"/>
      <c r="AV99" s="1"/>
      <c r="AW99" s="1"/>
      <c r="AX99" s="1"/>
      <c r="AY99" s="1"/>
      <c r="AZ99" s="1"/>
    </row>
    <row r="100" spans="1:52" s="12" customFormat="1" ht="14.4" customHeight="1" thickBot="1" x14ac:dyDescent="0.35">
      <c r="A100" s="1"/>
      <c r="B100" s="38"/>
      <c r="C100" s="262"/>
      <c r="D100" s="1"/>
      <c r="E100" s="1"/>
      <c r="F100" s="1"/>
      <c r="G100" s="1"/>
      <c r="H100" s="1"/>
      <c r="I100" s="1"/>
      <c r="J100" s="1"/>
      <c r="K100" s="306" t="s">
        <v>138</v>
      </c>
      <c r="L100" s="307"/>
      <c r="M100" s="260"/>
      <c r="N100" s="260"/>
      <c r="O100" s="639" t="e">
        <f>IF($AE90=3,$O90,IF($AE90=4,0,IF($AE90=1,MIN(O99,$K70),IF($AE90=2,MIN(O99,$K70),ERROR))))</f>
        <v>#DIV/0!</v>
      </c>
      <c r="P100" s="640" t="s">
        <v>34</v>
      </c>
      <c r="Q100" s="647" t="e">
        <f>IF($AE90=3,$O90,IF($AE90=4,0,IF($AE90=1,MIN(Q99,$K70),IF($AE90=2,MIN(Q99,$K70),ERROR))))</f>
        <v>#DIV/0!</v>
      </c>
      <c r="R100" s="648" t="s">
        <v>34</v>
      </c>
      <c r="S100" s="655" t="e">
        <f>IF($AE90=3,$O90,IF($AE90=4,0,IF($AE90=1,MIN(S99,$K70),IF($AE90=2,MIN(S99,$K70),ERROR))))</f>
        <v>#DIV/0!</v>
      </c>
      <c r="T100" s="656" t="s">
        <v>34</v>
      </c>
      <c r="U100" s="663" t="e">
        <f>IF($AE90=3,$O90,IF($AE90=4,0,IF($AE90=1,MIN(U99,$K70),IF($AE90=2,MIN(U99,$K70),ERROR))))</f>
        <v>#DIV/0!</v>
      </c>
      <c r="V100" s="664" t="s">
        <v>34</v>
      </c>
      <c r="W100" s="669" t="e">
        <f>IF($AE90=3,$O90,IF($AE90=4,0,IF($AE90=1,MIN(W99,$K70),IF($AE90=2,MIN(W99,$K70),ERROR))))</f>
        <v>#DIV/0!</v>
      </c>
      <c r="X100" s="292" t="s">
        <v>34</v>
      </c>
      <c r="Y100" s="40"/>
      <c r="Z100" s="1"/>
      <c r="AA100" s="1"/>
      <c r="AB100" s="1"/>
      <c r="AC100" s="1"/>
      <c r="AD100" s="1"/>
      <c r="AE100" s="1"/>
      <c r="AF100" s="1"/>
      <c r="AG100" s="1"/>
      <c r="AH100" s="1"/>
      <c r="AI100" s="6"/>
      <c r="AJ100" s="305" t="str">
        <f>K100</f>
        <v>Existing Building Space to Remodel</v>
      </c>
      <c r="AK100" s="16" t="e">
        <f>IF(O99&gt;$K70,(IF($AE90=3,$O90,IF($AE90=4,0,IF($AE90=1,$K70,IF($AE90=2,$K70,ERROR))))),O99)</f>
        <v>#DIV/0!</v>
      </c>
      <c r="AL100" s="16"/>
      <c r="AM100" s="17" t="e">
        <f>IF(Q99&gt;$K70,(IF($AE90=3,$O90,IF($AE90=4,0,IF($AE90=1,$K70,IF($AE90=2,$K70,ERROR))))),Q99)</f>
        <v>#DIV/0!</v>
      </c>
      <c r="AN100" s="17"/>
      <c r="AO100" s="18" t="e">
        <f>IF(S99&gt;$K70,(IF($AE90=3,$O90,IF($AE90=4,0,IF($AE90=1,$K70,IF($AE90=2,$K70,ERROR))))),S99)</f>
        <v>#DIV/0!</v>
      </c>
      <c r="AP100" s="18"/>
      <c r="AQ100" s="19" t="e">
        <f>IF(U99&gt;$K70,(IF($AE90=3,$O90,IF($AE90=4,0,IF($AE90=1,$K70,IF($AE90=2,$K70,ERROR))))),U99)</f>
        <v>#DIV/0!</v>
      </c>
      <c r="AR100" s="19"/>
      <c r="AS100" s="11" t="e">
        <f>IF(W99&gt;$K70,(IF($AE90=3,$O90,IF($AE90=4,0,IF($AE90=1,$K70,IF($AE90=2,$K70,ERROR))))),W99)</f>
        <v>#DIV/0!</v>
      </c>
      <c r="AT100" s="11"/>
      <c r="AU100" s="1"/>
      <c r="AV100" s="1"/>
      <c r="AW100" s="1"/>
      <c r="AX100" s="1"/>
      <c r="AY100" s="1"/>
      <c r="AZ100" s="1"/>
    </row>
    <row r="101" spans="1:52" s="12" customFormat="1" ht="14.4" customHeight="1" x14ac:dyDescent="0.3">
      <c r="A101" s="1"/>
      <c r="B101" s="38"/>
      <c r="C101" s="262"/>
      <c r="D101" s="1"/>
      <c r="E101" s="1"/>
      <c r="F101" s="1"/>
      <c r="G101" s="1"/>
      <c r="H101" s="1"/>
      <c r="I101" s="1"/>
      <c r="J101" s="1"/>
      <c r="K101" s="308" t="s">
        <v>119</v>
      </c>
      <c r="L101" s="309"/>
      <c r="M101" s="310"/>
      <c r="N101" s="310"/>
      <c r="O101" s="635" t="e">
        <f>IF((O99-O100)&gt;1,O99-O100,0)</f>
        <v>#DIV/0!</v>
      </c>
      <c r="P101" s="636" t="s">
        <v>34</v>
      </c>
      <c r="Q101" s="643" t="e">
        <f>IF((Q99-Q100)&gt;1,Q99-Q100,0)</f>
        <v>#DIV/0!</v>
      </c>
      <c r="R101" s="644" t="s">
        <v>34</v>
      </c>
      <c r="S101" s="651" t="e">
        <f>IF((S99-S100)&gt;1,S99-S100,0)</f>
        <v>#DIV/0!</v>
      </c>
      <c r="T101" s="652" t="s">
        <v>34</v>
      </c>
      <c r="U101" s="659" t="e">
        <f>IF((U99-U100)&gt;1,U99-U100,0)</f>
        <v>#DIV/0!</v>
      </c>
      <c r="V101" s="660" t="s">
        <v>34</v>
      </c>
      <c r="W101" s="667" t="e">
        <f>IF((W99-W100)&gt;1,W99-W100,0)</f>
        <v>#DIV/0!</v>
      </c>
      <c r="X101" s="271" t="s">
        <v>34</v>
      </c>
      <c r="Y101" s="40"/>
      <c r="Z101" s="1"/>
      <c r="AA101" s="1"/>
      <c r="AB101" s="1"/>
      <c r="AC101" s="1"/>
      <c r="AD101" s="1"/>
      <c r="AE101" s="1"/>
      <c r="AF101" s="1"/>
      <c r="AG101" s="1"/>
      <c r="AH101" s="1"/>
      <c r="AI101" s="6"/>
      <c r="AJ101" s="305" t="str">
        <f>K101</f>
        <v>New Building Space to Add</v>
      </c>
      <c r="AK101" s="16"/>
      <c r="AL101" s="16"/>
      <c r="AM101" s="17"/>
      <c r="AN101" s="17"/>
      <c r="AO101" s="18"/>
      <c r="AP101" s="18"/>
      <c r="AQ101" s="19"/>
      <c r="AR101" s="19"/>
      <c r="AS101" s="11"/>
      <c r="AT101" s="11"/>
      <c r="AU101" s="1"/>
      <c r="AV101" s="1"/>
      <c r="AW101" s="1"/>
      <c r="AX101" s="1"/>
      <c r="AY101" s="1"/>
      <c r="AZ101" s="1"/>
    </row>
    <row r="102" spans="1:52" s="12" customFormat="1" ht="14.4" customHeight="1" thickBot="1" x14ac:dyDescent="0.35">
      <c r="A102" s="1"/>
      <c r="B102" s="38"/>
      <c r="C102" s="262"/>
      <c r="D102" s="1"/>
      <c r="E102" s="1"/>
      <c r="F102" s="1"/>
      <c r="G102" s="1"/>
      <c r="H102" s="1"/>
      <c r="I102" s="1"/>
      <c r="J102" s="1"/>
      <c r="K102" s="306" t="s">
        <v>130</v>
      </c>
      <c r="L102" s="307"/>
      <c r="M102" s="260"/>
      <c r="N102" s="311"/>
      <c r="O102" s="639">
        <f>IF($AE90=1,O79,O61)</f>
        <v>0</v>
      </c>
      <c r="P102" s="640" t="s">
        <v>114</v>
      </c>
      <c r="Q102" s="647">
        <f>IF($AE90=1,Q79,Q61)</f>
        <v>0</v>
      </c>
      <c r="R102" s="648" t="s">
        <v>114</v>
      </c>
      <c r="S102" s="655">
        <f>IF($AE90=1,S79,S61)</f>
        <v>0</v>
      </c>
      <c r="T102" s="656" t="s">
        <v>114</v>
      </c>
      <c r="U102" s="663">
        <f>IF($AE90=1,U79,U61)</f>
        <v>0</v>
      </c>
      <c r="V102" s="664" t="s">
        <v>114</v>
      </c>
      <c r="W102" s="669">
        <f>IF($AE90=1,W79,W61)</f>
        <v>0</v>
      </c>
      <c r="X102" s="292" t="s">
        <v>114</v>
      </c>
      <c r="Y102" s="1"/>
      <c r="Z102" s="1"/>
      <c r="AA102" s="1"/>
      <c r="AB102" s="1"/>
      <c r="AC102" s="1"/>
      <c r="AD102" s="1"/>
      <c r="AE102" s="1"/>
      <c r="AF102" s="1"/>
      <c r="AG102" s="1"/>
      <c r="AH102" s="1"/>
      <c r="AI102" s="6"/>
      <c r="AJ102" s="272"/>
      <c r="AK102" s="16"/>
      <c r="AL102" s="16"/>
      <c r="AM102" s="17"/>
      <c r="AN102" s="17"/>
      <c r="AO102" s="18"/>
      <c r="AP102" s="18"/>
      <c r="AQ102" s="19"/>
      <c r="AR102" s="19"/>
      <c r="AS102" s="11"/>
      <c r="AT102" s="11"/>
      <c r="AU102" s="1"/>
      <c r="AV102" s="1"/>
      <c r="AW102" s="1"/>
      <c r="AX102" s="1"/>
      <c r="AY102" s="1"/>
      <c r="AZ102" s="1"/>
    </row>
    <row r="103" spans="1:52" s="12" customFormat="1" ht="14.4" customHeight="1" thickBot="1" x14ac:dyDescent="0.35">
      <c r="B103" s="312"/>
      <c r="C103" s="312"/>
      <c r="D103" s="312"/>
      <c r="E103" s="312"/>
      <c r="F103" s="312"/>
      <c r="G103" s="312"/>
      <c r="H103" s="312"/>
      <c r="I103" s="312"/>
      <c r="J103" s="312"/>
      <c r="K103" s="312"/>
      <c r="L103" s="312"/>
      <c r="M103" s="312"/>
      <c r="N103" s="1"/>
      <c r="O103" s="1"/>
      <c r="P103" s="1"/>
      <c r="Q103" s="1"/>
      <c r="R103" s="1"/>
      <c r="S103" s="1"/>
      <c r="T103" s="1"/>
      <c r="U103" s="1"/>
      <c r="V103" s="1"/>
      <c r="W103" s="1"/>
      <c r="X103" s="1"/>
      <c r="Y103" s="1"/>
      <c r="Z103" s="1"/>
      <c r="AA103" s="1"/>
      <c r="AB103" s="1"/>
      <c r="AC103" s="1"/>
      <c r="AD103" s="1"/>
      <c r="AE103" s="1"/>
      <c r="AF103" s="1"/>
      <c r="AG103" s="1"/>
      <c r="AH103" s="1"/>
      <c r="AI103" s="6"/>
      <c r="AJ103" s="272"/>
      <c r="AK103" s="16"/>
      <c r="AL103" s="16"/>
      <c r="AM103" s="17"/>
      <c r="AN103" s="17"/>
      <c r="AO103" s="18"/>
      <c r="AP103" s="18"/>
      <c r="AQ103" s="19"/>
      <c r="AR103" s="19"/>
      <c r="AS103" s="11"/>
      <c r="AT103" s="11"/>
      <c r="AU103" s="1"/>
      <c r="AV103" s="1"/>
      <c r="AW103" s="1"/>
      <c r="AX103" s="1"/>
      <c r="AY103" s="1"/>
      <c r="AZ103" s="1"/>
    </row>
    <row r="104" spans="1:52" s="12" customFormat="1" ht="14.4" customHeight="1" thickBot="1" x14ac:dyDescent="0.35">
      <c r="A104" s="1287" t="s">
        <v>261</v>
      </c>
      <c r="B104" s="1287"/>
      <c r="C104" s="1287"/>
      <c r="D104" s="1287"/>
      <c r="E104" s="1287"/>
      <c r="F104" s="1287"/>
      <c r="G104" s="1287"/>
      <c r="H104" s="1287"/>
      <c r="I104" s="1287"/>
      <c r="J104" s="1288"/>
      <c r="K104" s="379" t="str">
        <f>K55</f>
        <v>Existing Production System</v>
      </c>
      <c r="L104" s="379"/>
      <c r="M104" s="315"/>
      <c r="N104" s="316" t="s">
        <v>189</v>
      </c>
      <c r="O104" s="1181" t="str">
        <f>O56</f>
        <v>1. Floor Feeding</v>
      </c>
      <c r="P104" s="1182"/>
      <c r="Q104" s="1183" t="str">
        <f>Q56</f>
        <v xml:space="preserve">2. Short Stalls </v>
      </c>
      <c r="R104" s="1184"/>
      <c r="S104" s="1185" t="str">
        <f>S56</f>
        <v>3. Trickle Feeding</v>
      </c>
      <c r="T104" s="1186"/>
      <c r="U104" s="1187" t="str">
        <f>U56</f>
        <v>4. Elec Sow Feeding</v>
      </c>
      <c r="V104" s="1188"/>
      <c r="W104" s="1189" t="str">
        <f>W56</f>
        <v>5. Free Access Stalls</v>
      </c>
      <c r="X104" s="1190"/>
      <c r="Y104" s="1"/>
      <c r="Z104" s="1"/>
      <c r="AA104" s="1"/>
      <c r="AB104" s="1"/>
      <c r="AC104" s="1"/>
      <c r="AD104" s="1"/>
      <c r="AE104" s="1"/>
      <c r="AF104" s="1"/>
      <c r="AG104" s="1"/>
      <c r="AH104" s="1"/>
      <c r="AI104" s="6"/>
      <c r="AJ104" s="6"/>
      <c r="AK104" s="16"/>
      <c r="AL104" s="16"/>
      <c r="AM104" s="17"/>
      <c r="AN104" s="17"/>
      <c r="AO104" s="18"/>
      <c r="AP104" s="18"/>
      <c r="AQ104" s="19"/>
      <c r="AR104" s="19"/>
      <c r="AS104" s="11"/>
      <c r="AT104" s="11"/>
      <c r="AU104" s="1"/>
      <c r="AV104" s="1"/>
      <c r="AW104" s="1"/>
      <c r="AX104" s="1"/>
      <c r="AY104" s="1"/>
      <c r="AZ104" s="1"/>
    </row>
    <row r="105" spans="1:52" s="12" customFormat="1" ht="14.4" customHeight="1" x14ac:dyDescent="0.3">
      <c r="A105" s="1287"/>
      <c r="B105" s="1287"/>
      <c r="C105" s="1287"/>
      <c r="D105" s="1287"/>
      <c r="E105" s="1287"/>
      <c r="F105" s="1287"/>
      <c r="G105" s="1287"/>
      <c r="H105" s="1287"/>
      <c r="I105" s="1287"/>
      <c r="J105" s="1288"/>
      <c r="K105" s="613" t="s">
        <v>137</v>
      </c>
      <c r="L105" s="614"/>
      <c r="M105" s="611"/>
      <c r="N105" s="193" t="s">
        <v>135</v>
      </c>
      <c r="O105" s="615" t="str">
        <f>IF($AE$90=1,$AA$90,IF($AE$90=2,$AA$91,IF($AE$90=3,$AA$92,IF($AE$90=4,$AA$93,"ERROR"))))</f>
        <v>2. Remodel Existing &amp; Add Space (to produce same number of pigs)</v>
      </c>
      <c r="P105" s="617"/>
      <c r="Q105" s="619" t="str">
        <f>IF($AE$90=1,$AA$90,IF($AE$90=2,$AA$91,IF($AE$90=3,$AA$92,IF($AE$90=4,$AA$93,"ERROR"))))</f>
        <v>2. Remodel Existing &amp; Add Space (to produce same number of pigs)</v>
      </c>
      <c r="R105" s="620"/>
      <c r="S105" s="623" t="str">
        <f>IF($AE$90=1,$AA$90,IF($AE$90=2,$AA$91,IF($AE$90=3,$AA$92,IF($AE$90=4,$AA$93,"ERROR"))))</f>
        <v>2. Remodel Existing &amp; Add Space (to produce same number of pigs)</v>
      </c>
      <c r="T105" s="624"/>
      <c r="U105" s="627" t="str">
        <f>IF($AE$90=1,$AA$90,IF($AE$90=2,$AA$91,IF($AE$90=3,$AA$92,IF($AE$90=4,$AA$93,"ERROR"))))</f>
        <v>2. Remodel Existing &amp; Add Space (to produce same number of pigs)</v>
      </c>
      <c r="V105" s="628"/>
      <c r="W105" s="631" t="str">
        <f>IF($AE$90=1,$AA$90,IF($AE$90=2,$AA$91,IF($AE$90=3,$AA$92,IF($AE$90=4,$AA$93,"ERROR"))))</f>
        <v>2. Remodel Existing &amp; Add Space (to produce same number of pigs)</v>
      </c>
      <c r="X105" s="317"/>
      <c r="Y105" s="1" t="s">
        <v>235</v>
      </c>
      <c r="Z105" s="1"/>
      <c r="AA105" s="1"/>
      <c r="AB105" s="1"/>
      <c r="AC105" s="1"/>
      <c r="AD105" s="1"/>
      <c r="AE105" s="1"/>
      <c r="AF105" s="1"/>
      <c r="AG105" s="1"/>
      <c r="AH105" s="1"/>
      <c r="AI105" s="6"/>
      <c r="AJ105" s="6"/>
      <c r="AK105" s="16"/>
      <c r="AL105" s="16"/>
      <c r="AM105" s="17"/>
      <c r="AN105" s="17"/>
      <c r="AO105" s="18"/>
      <c r="AP105" s="18"/>
      <c r="AQ105" s="19"/>
      <c r="AR105" s="19"/>
      <c r="AS105" s="11"/>
      <c r="AT105" s="11"/>
      <c r="AU105" s="1"/>
      <c r="AV105" s="1"/>
      <c r="AW105" s="1"/>
      <c r="AX105" s="1"/>
      <c r="AY105" s="1"/>
      <c r="AZ105" s="1"/>
    </row>
    <row r="106" spans="1:52" s="12" customFormat="1" ht="31.2" customHeight="1" thickBot="1" x14ac:dyDescent="0.35">
      <c r="A106" s="1287"/>
      <c r="B106" s="1287"/>
      <c r="C106" s="1287"/>
      <c r="D106" s="1287"/>
      <c r="E106" s="1287"/>
      <c r="F106" s="1287"/>
      <c r="G106" s="1287"/>
      <c r="H106" s="1287"/>
      <c r="I106" s="1287"/>
      <c r="J106" s="1288"/>
      <c r="K106" s="318" t="s">
        <v>126</v>
      </c>
      <c r="L106" s="319" t="s">
        <v>40</v>
      </c>
      <c r="M106" s="612" t="s">
        <v>124</v>
      </c>
      <c r="N106" s="320" t="s">
        <v>125</v>
      </c>
      <c r="O106" s="616" t="s">
        <v>126</v>
      </c>
      <c r="P106" s="618" t="s">
        <v>40</v>
      </c>
      <c r="Q106" s="621" t="s">
        <v>126</v>
      </c>
      <c r="R106" s="622" t="s">
        <v>40</v>
      </c>
      <c r="S106" s="625" t="s">
        <v>126</v>
      </c>
      <c r="T106" s="626" t="s">
        <v>40</v>
      </c>
      <c r="U106" s="629" t="s">
        <v>126</v>
      </c>
      <c r="V106" s="630" t="s">
        <v>40</v>
      </c>
      <c r="W106" s="632" t="s">
        <v>126</v>
      </c>
      <c r="X106" s="377" t="s">
        <v>40</v>
      </c>
      <c r="Y106" s="265"/>
      <c r="Z106" s="265"/>
      <c r="AA106" s="265"/>
      <c r="AB106" s="265"/>
      <c r="AC106" s="265"/>
      <c r="AD106" s="265"/>
      <c r="AE106" s="265"/>
      <c r="AF106" s="265"/>
      <c r="AG106" s="265"/>
      <c r="AH106" s="1"/>
      <c r="AI106" s="6"/>
      <c r="AJ106" s="6"/>
      <c r="AK106" s="16" t="s">
        <v>55</v>
      </c>
      <c r="AL106" s="16"/>
      <c r="AM106" s="17"/>
      <c r="AN106" s="17"/>
      <c r="AO106" s="18"/>
      <c r="AP106" s="18"/>
      <c r="AQ106" s="19"/>
      <c r="AR106" s="19"/>
      <c r="AS106" s="11"/>
      <c r="AT106" s="11"/>
      <c r="AU106" s="1"/>
      <c r="AV106" s="1"/>
      <c r="AW106" s="1"/>
      <c r="AX106" s="1"/>
      <c r="AY106" s="1"/>
      <c r="AZ106" s="1"/>
    </row>
    <row r="107" spans="1:52" s="12" customFormat="1" ht="14.4" customHeight="1" x14ac:dyDescent="0.3">
      <c r="A107" s="1"/>
      <c r="B107" s="1"/>
      <c r="C107" s="2"/>
      <c r="D107" s="3"/>
      <c r="E107" s="1"/>
      <c r="F107" s="1"/>
      <c r="G107" s="1"/>
      <c r="H107" s="14" t="s">
        <v>7</v>
      </c>
      <c r="I107" s="13"/>
      <c r="J107" s="13"/>
      <c r="K107" s="602" t="e">
        <f>M107*K70</f>
        <v>#DIV/0!</v>
      </c>
      <c r="L107" s="15">
        <v>25</v>
      </c>
      <c r="M107" s="588">
        <v>2.0160000000000001E-2</v>
      </c>
      <c r="N107" s="606" t="s">
        <v>90</v>
      </c>
      <c r="O107" s="602" t="e">
        <f t="shared" ref="O107:O113" si="0">O$101*$M107</f>
        <v>#DIV/0!</v>
      </c>
      <c r="P107" s="15">
        <f t="shared" ref="P107:P132" si="1">$L107</f>
        <v>25</v>
      </c>
      <c r="Q107" s="602" t="e">
        <f t="shared" ref="Q107:Q113" si="2">Q$101*$M107</f>
        <v>#DIV/0!</v>
      </c>
      <c r="R107" s="15">
        <f t="shared" ref="R107:R132" si="3">$L107</f>
        <v>25</v>
      </c>
      <c r="S107" s="602" t="e">
        <f t="shared" ref="S107:S113" si="4">S$101*$M107</f>
        <v>#DIV/0!</v>
      </c>
      <c r="T107" s="15">
        <f t="shared" ref="T107:T132" si="5">$L107</f>
        <v>25</v>
      </c>
      <c r="U107" s="602" t="e">
        <f t="shared" ref="U107:U113" si="6">U$101*$M107</f>
        <v>#DIV/0!</v>
      </c>
      <c r="V107" s="15">
        <f t="shared" ref="V107:V132" si="7">$L107</f>
        <v>25</v>
      </c>
      <c r="W107" s="602" t="e">
        <f t="shared" ref="W107:W113" si="8">W$101*$M107</f>
        <v>#DIV/0!</v>
      </c>
      <c r="X107" s="15">
        <f t="shared" ref="X107:X132" si="9">$L107</f>
        <v>25</v>
      </c>
      <c r="Y107" s="1"/>
      <c r="Z107" s="1"/>
      <c r="AA107" s="1"/>
      <c r="AB107" s="1"/>
      <c r="AC107" s="1"/>
      <c r="AD107" s="1"/>
      <c r="AE107" s="1"/>
      <c r="AF107" s="1"/>
      <c r="AG107" s="1"/>
      <c r="AH107" s="16" t="e">
        <f t="shared" ref="AH107:AH132" si="10">PMT($I$42,L107,K107,0,0)</f>
        <v>#DIV/0!</v>
      </c>
      <c r="AI107" s="6"/>
      <c r="AJ107" s="6"/>
      <c r="AK107" s="16" t="e">
        <f t="shared" ref="AK107:AK132" si="11">PMT($I$42,P107,O107,0,0)</f>
        <v>#DIV/0!</v>
      </c>
      <c r="AL107" s="16"/>
      <c r="AM107" s="17" t="e">
        <f t="shared" ref="AM107:AM132" si="12">PMT($I$42,R107,Q107,0,0)</f>
        <v>#DIV/0!</v>
      </c>
      <c r="AN107" s="17"/>
      <c r="AO107" s="18" t="e">
        <f t="shared" ref="AO107:AO132" si="13">PMT($I$42,T107,S107,0,0)</f>
        <v>#DIV/0!</v>
      </c>
      <c r="AP107" s="18"/>
      <c r="AQ107" s="19" t="e">
        <f t="shared" ref="AQ107:AQ132" si="14">PMT($I$42,V107,U107,0,0)</f>
        <v>#DIV/0!</v>
      </c>
      <c r="AR107" s="19"/>
      <c r="AS107" s="11" t="e">
        <f t="shared" ref="AS107:AS132" si="15">PMT($I$42,X107,W107,0,0)</f>
        <v>#DIV/0!</v>
      </c>
      <c r="AT107" s="11"/>
      <c r="AU107" s="1"/>
      <c r="AV107" s="1"/>
      <c r="AW107" s="1"/>
      <c r="AX107" s="1"/>
      <c r="AY107" s="1"/>
      <c r="AZ107" s="1"/>
    </row>
    <row r="108" spans="1:52" s="12" customFormat="1" ht="14.4" customHeight="1" x14ac:dyDescent="0.3">
      <c r="A108" s="1"/>
      <c r="B108" s="1"/>
      <c r="C108" s="2"/>
      <c r="D108" s="20"/>
      <c r="E108" s="1"/>
      <c r="F108" s="1"/>
      <c r="G108" s="1"/>
      <c r="H108" s="21" t="s">
        <v>8</v>
      </c>
      <c r="I108" s="22"/>
      <c r="J108" s="22"/>
      <c r="K108" s="603" t="e">
        <f>M108*K70</f>
        <v>#DIV/0!</v>
      </c>
      <c r="L108" s="23">
        <v>25</v>
      </c>
      <c r="M108" s="589">
        <v>8.1270000000000007</v>
      </c>
      <c r="N108" s="607" t="s">
        <v>90</v>
      </c>
      <c r="O108" s="603" t="e">
        <f t="shared" si="0"/>
        <v>#DIV/0!</v>
      </c>
      <c r="P108" s="23">
        <f t="shared" si="1"/>
        <v>25</v>
      </c>
      <c r="Q108" s="603" t="e">
        <f t="shared" si="2"/>
        <v>#DIV/0!</v>
      </c>
      <c r="R108" s="23">
        <f t="shared" si="3"/>
        <v>25</v>
      </c>
      <c r="S108" s="603" t="e">
        <f t="shared" si="4"/>
        <v>#DIV/0!</v>
      </c>
      <c r="T108" s="23">
        <f t="shared" si="5"/>
        <v>25</v>
      </c>
      <c r="U108" s="603" t="e">
        <f>U$101*$M108</f>
        <v>#DIV/0!</v>
      </c>
      <c r="V108" s="23">
        <f t="shared" si="7"/>
        <v>25</v>
      </c>
      <c r="W108" s="603" t="e">
        <f t="shared" si="8"/>
        <v>#DIV/0!</v>
      </c>
      <c r="X108" s="23">
        <f t="shared" si="9"/>
        <v>25</v>
      </c>
      <c r="Y108" s="1"/>
      <c r="Z108" s="1"/>
      <c r="AA108" s="1"/>
      <c r="AB108" s="1"/>
      <c r="AC108" s="1"/>
      <c r="AD108" s="1"/>
      <c r="AE108" s="1"/>
      <c r="AF108" s="1"/>
      <c r="AG108" s="1"/>
      <c r="AH108" s="16" t="e">
        <f t="shared" si="10"/>
        <v>#DIV/0!</v>
      </c>
      <c r="AI108" s="6"/>
      <c r="AJ108" s="6"/>
      <c r="AK108" s="16" t="e">
        <f t="shared" si="11"/>
        <v>#DIV/0!</v>
      </c>
      <c r="AL108" s="16"/>
      <c r="AM108" s="17" t="e">
        <f t="shared" si="12"/>
        <v>#DIV/0!</v>
      </c>
      <c r="AN108" s="17"/>
      <c r="AO108" s="18" t="e">
        <f t="shared" si="13"/>
        <v>#DIV/0!</v>
      </c>
      <c r="AP108" s="18"/>
      <c r="AQ108" s="19" t="e">
        <f t="shared" si="14"/>
        <v>#DIV/0!</v>
      </c>
      <c r="AR108" s="19"/>
      <c r="AS108" s="11" t="e">
        <f t="shared" si="15"/>
        <v>#DIV/0!</v>
      </c>
      <c r="AT108" s="11"/>
      <c r="AU108" s="1"/>
      <c r="AV108" s="1"/>
      <c r="AW108" s="1"/>
      <c r="AX108" s="1"/>
      <c r="AY108" s="1"/>
      <c r="AZ108" s="1"/>
    </row>
    <row r="109" spans="1:52" s="12" customFormat="1" ht="14.4" customHeight="1" thickBot="1" x14ac:dyDescent="0.35">
      <c r="A109" s="1"/>
      <c r="B109" s="1"/>
      <c r="C109" s="2"/>
      <c r="D109" s="3"/>
      <c r="E109" s="1"/>
      <c r="F109" s="1"/>
      <c r="G109" s="1"/>
      <c r="H109" s="24" t="s">
        <v>9</v>
      </c>
      <c r="I109" s="25"/>
      <c r="J109" s="25"/>
      <c r="K109" s="604" t="e">
        <f>M109*K70</f>
        <v>#DIV/0!</v>
      </c>
      <c r="L109" s="4">
        <v>25</v>
      </c>
      <c r="M109" s="590">
        <v>0</v>
      </c>
      <c r="N109" s="608" t="s">
        <v>90</v>
      </c>
      <c r="O109" s="604" t="e">
        <f t="shared" si="0"/>
        <v>#DIV/0!</v>
      </c>
      <c r="P109" s="4">
        <f t="shared" si="1"/>
        <v>25</v>
      </c>
      <c r="Q109" s="604" t="e">
        <f t="shared" si="2"/>
        <v>#DIV/0!</v>
      </c>
      <c r="R109" s="4">
        <f t="shared" si="3"/>
        <v>25</v>
      </c>
      <c r="S109" s="604" t="e">
        <f t="shared" si="4"/>
        <v>#DIV/0!</v>
      </c>
      <c r="T109" s="4">
        <f t="shared" si="5"/>
        <v>25</v>
      </c>
      <c r="U109" s="604" t="e">
        <f t="shared" si="6"/>
        <v>#DIV/0!</v>
      </c>
      <c r="V109" s="4">
        <f t="shared" si="7"/>
        <v>25</v>
      </c>
      <c r="W109" s="604" t="e">
        <f t="shared" si="8"/>
        <v>#DIV/0!</v>
      </c>
      <c r="X109" s="4">
        <f t="shared" si="9"/>
        <v>25</v>
      </c>
      <c r="Y109" s="1"/>
      <c r="Z109" s="1"/>
      <c r="AA109" s="1"/>
      <c r="AB109" s="1"/>
      <c r="AC109" s="1"/>
      <c r="AD109" s="1"/>
      <c r="AE109" s="1"/>
      <c r="AF109" s="1"/>
      <c r="AG109" s="1"/>
      <c r="AH109" s="16" t="e">
        <f t="shared" si="10"/>
        <v>#DIV/0!</v>
      </c>
      <c r="AI109" s="6"/>
      <c r="AJ109" s="6"/>
      <c r="AK109" s="16" t="e">
        <f t="shared" si="11"/>
        <v>#DIV/0!</v>
      </c>
      <c r="AL109" s="16"/>
      <c r="AM109" s="17" t="e">
        <f t="shared" si="12"/>
        <v>#DIV/0!</v>
      </c>
      <c r="AN109" s="17"/>
      <c r="AO109" s="18" t="e">
        <f t="shared" si="13"/>
        <v>#DIV/0!</v>
      </c>
      <c r="AP109" s="18"/>
      <c r="AQ109" s="19" t="e">
        <f t="shared" si="14"/>
        <v>#DIV/0!</v>
      </c>
      <c r="AR109" s="19"/>
      <c r="AS109" s="11" t="e">
        <f t="shared" si="15"/>
        <v>#DIV/0!</v>
      </c>
      <c r="AT109" s="11"/>
      <c r="AU109" s="1"/>
      <c r="AV109" s="1"/>
      <c r="AW109" s="1"/>
      <c r="AX109" s="1"/>
      <c r="AY109" s="1"/>
      <c r="AZ109" s="1"/>
    </row>
    <row r="110" spans="1:52" s="12" customFormat="1" ht="14.4" customHeight="1" x14ac:dyDescent="0.3">
      <c r="A110" s="1"/>
      <c r="B110" s="1"/>
      <c r="C110" s="2"/>
      <c r="D110" s="20"/>
      <c r="E110" s="1"/>
      <c r="F110" s="1"/>
      <c r="G110" s="1"/>
      <c r="H110" s="14"/>
      <c r="I110" s="13" t="s">
        <v>41</v>
      </c>
      <c r="J110" s="13"/>
      <c r="K110" s="602" t="e">
        <f>M110*K70</f>
        <v>#DIV/0!</v>
      </c>
      <c r="L110" s="15">
        <v>25</v>
      </c>
      <c r="M110" s="591">
        <v>0.98933000000000004</v>
      </c>
      <c r="N110" s="609" t="s">
        <v>90</v>
      </c>
      <c r="O110" s="602" t="e">
        <f t="shared" si="0"/>
        <v>#DIV/0!</v>
      </c>
      <c r="P110" s="15">
        <f t="shared" si="1"/>
        <v>25</v>
      </c>
      <c r="Q110" s="602" t="e">
        <f t="shared" si="2"/>
        <v>#DIV/0!</v>
      </c>
      <c r="R110" s="15">
        <f t="shared" si="3"/>
        <v>25</v>
      </c>
      <c r="S110" s="602" t="e">
        <f t="shared" si="4"/>
        <v>#DIV/0!</v>
      </c>
      <c r="T110" s="15">
        <f t="shared" si="5"/>
        <v>25</v>
      </c>
      <c r="U110" s="602" t="e">
        <f t="shared" si="6"/>
        <v>#DIV/0!</v>
      </c>
      <c r="V110" s="15">
        <f t="shared" si="7"/>
        <v>25</v>
      </c>
      <c r="W110" s="602" t="e">
        <f t="shared" si="8"/>
        <v>#DIV/0!</v>
      </c>
      <c r="X110" s="15">
        <f t="shared" si="9"/>
        <v>25</v>
      </c>
      <c r="Y110" s="1"/>
      <c r="Z110" s="1"/>
      <c r="AA110" s="1"/>
      <c r="AB110" s="1"/>
      <c r="AC110" s="1"/>
      <c r="AD110" s="1"/>
      <c r="AE110" s="1"/>
      <c r="AF110" s="1"/>
      <c r="AG110" s="1"/>
      <c r="AH110" s="16" t="e">
        <f t="shared" si="10"/>
        <v>#DIV/0!</v>
      </c>
      <c r="AI110" s="6"/>
      <c r="AJ110" s="6"/>
      <c r="AK110" s="16" t="e">
        <f t="shared" si="11"/>
        <v>#DIV/0!</v>
      </c>
      <c r="AL110" s="16"/>
      <c r="AM110" s="17" t="e">
        <f t="shared" si="12"/>
        <v>#DIV/0!</v>
      </c>
      <c r="AN110" s="17"/>
      <c r="AO110" s="18" t="e">
        <f t="shared" si="13"/>
        <v>#DIV/0!</v>
      </c>
      <c r="AP110" s="18"/>
      <c r="AQ110" s="19" t="e">
        <f t="shared" si="14"/>
        <v>#DIV/0!</v>
      </c>
      <c r="AR110" s="19"/>
      <c r="AS110" s="11" t="e">
        <f t="shared" si="15"/>
        <v>#DIV/0!</v>
      </c>
      <c r="AT110" s="11"/>
      <c r="AU110" s="1"/>
      <c r="AV110" s="1"/>
      <c r="AW110" s="1"/>
      <c r="AX110" s="1"/>
      <c r="AY110" s="1"/>
      <c r="AZ110" s="1"/>
    </row>
    <row r="111" spans="1:52" s="12" customFormat="1" ht="14.4" customHeight="1" x14ac:dyDescent="0.3">
      <c r="A111" s="1"/>
      <c r="B111" s="1"/>
      <c r="C111" s="2"/>
      <c r="D111" s="3"/>
      <c r="E111" s="1"/>
      <c r="F111" s="1"/>
      <c r="G111" s="1"/>
      <c r="H111" s="21"/>
      <c r="I111" s="22" t="s">
        <v>10</v>
      </c>
      <c r="J111" s="22"/>
      <c r="K111" s="603" t="e">
        <f>M111*K70</f>
        <v>#DIV/0!</v>
      </c>
      <c r="L111" s="23">
        <v>25</v>
      </c>
      <c r="M111" s="589">
        <v>2.0160000000000001E-2</v>
      </c>
      <c r="N111" s="607" t="s">
        <v>90</v>
      </c>
      <c r="O111" s="603" t="e">
        <f t="shared" si="0"/>
        <v>#DIV/0!</v>
      </c>
      <c r="P111" s="23">
        <f t="shared" si="1"/>
        <v>25</v>
      </c>
      <c r="Q111" s="603" t="e">
        <f t="shared" si="2"/>
        <v>#DIV/0!</v>
      </c>
      <c r="R111" s="23">
        <f t="shared" si="3"/>
        <v>25</v>
      </c>
      <c r="S111" s="603" t="e">
        <f t="shared" si="4"/>
        <v>#DIV/0!</v>
      </c>
      <c r="T111" s="23">
        <f t="shared" si="5"/>
        <v>25</v>
      </c>
      <c r="U111" s="603" t="e">
        <f t="shared" si="6"/>
        <v>#DIV/0!</v>
      </c>
      <c r="V111" s="23">
        <f t="shared" si="7"/>
        <v>25</v>
      </c>
      <c r="W111" s="603" t="e">
        <f t="shared" si="8"/>
        <v>#DIV/0!</v>
      </c>
      <c r="X111" s="23">
        <f t="shared" si="9"/>
        <v>25</v>
      </c>
      <c r="Y111" s="26"/>
      <c r="Z111" s="1"/>
      <c r="AA111" s="1"/>
      <c r="AB111" s="1"/>
      <c r="AC111" s="1"/>
      <c r="AD111" s="1"/>
      <c r="AE111" s="1"/>
      <c r="AF111" s="1"/>
      <c r="AG111" s="1"/>
      <c r="AH111" s="16" t="e">
        <f t="shared" si="10"/>
        <v>#DIV/0!</v>
      </c>
      <c r="AI111" s="6"/>
      <c r="AJ111" s="6"/>
      <c r="AK111" s="16" t="e">
        <f t="shared" si="11"/>
        <v>#DIV/0!</v>
      </c>
      <c r="AL111" s="16"/>
      <c r="AM111" s="17" t="e">
        <f t="shared" si="12"/>
        <v>#DIV/0!</v>
      </c>
      <c r="AN111" s="17"/>
      <c r="AO111" s="18" t="e">
        <f t="shared" si="13"/>
        <v>#DIV/0!</v>
      </c>
      <c r="AP111" s="18"/>
      <c r="AQ111" s="19" t="e">
        <f t="shared" si="14"/>
        <v>#DIV/0!</v>
      </c>
      <c r="AR111" s="19"/>
      <c r="AS111" s="11" t="e">
        <f t="shared" si="15"/>
        <v>#DIV/0!</v>
      </c>
      <c r="AT111" s="11"/>
      <c r="AU111" s="1"/>
      <c r="AV111" s="1"/>
      <c r="AW111" s="1"/>
      <c r="AX111" s="1"/>
      <c r="AY111" s="1"/>
      <c r="AZ111" s="1"/>
    </row>
    <row r="112" spans="1:52" s="12" customFormat="1" ht="14.4" customHeight="1" thickBot="1" x14ac:dyDescent="0.35">
      <c r="A112" s="1"/>
      <c r="B112" s="1"/>
      <c r="C112" s="2"/>
      <c r="D112" s="20"/>
      <c r="E112" s="1"/>
      <c r="F112" s="1"/>
      <c r="G112" s="1"/>
      <c r="H112" s="24" t="s">
        <v>71</v>
      </c>
      <c r="I112" s="25"/>
      <c r="J112" s="25"/>
      <c r="K112" s="604" t="e">
        <f>M112*K70</f>
        <v>#DIV/0!</v>
      </c>
      <c r="L112" s="4">
        <v>25</v>
      </c>
      <c r="M112" s="590">
        <v>7.3404999999999996</v>
      </c>
      <c r="N112" s="608" t="s">
        <v>90</v>
      </c>
      <c r="O112" s="604" t="e">
        <f>O$101*$M112</f>
        <v>#DIV/0!</v>
      </c>
      <c r="P112" s="4">
        <f t="shared" si="1"/>
        <v>25</v>
      </c>
      <c r="Q112" s="604" t="e">
        <f t="shared" si="2"/>
        <v>#DIV/0!</v>
      </c>
      <c r="R112" s="4">
        <f t="shared" si="3"/>
        <v>25</v>
      </c>
      <c r="S112" s="604" t="e">
        <f t="shared" si="4"/>
        <v>#DIV/0!</v>
      </c>
      <c r="T112" s="4">
        <f t="shared" si="5"/>
        <v>25</v>
      </c>
      <c r="U112" s="604" t="e">
        <f t="shared" si="6"/>
        <v>#DIV/0!</v>
      </c>
      <c r="V112" s="4">
        <f t="shared" si="7"/>
        <v>25</v>
      </c>
      <c r="W112" s="604" t="e">
        <f>W$101*$M112</f>
        <v>#DIV/0!</v>
      </c>
      <c r="X112" s="4">
        <f t="shared" si="9"/>
        <v>25</v>
      </c>
      <c r="Y112" s="26"/>
      <c r="Z112" s="1"/>
      <c r="AA112" s="1"/>
      <c r="AB112" s="1"/>
      <c r="AC112" s="1"/>
      <c r="AD112" s="1"/>
      <c r="AE112" s="1"/>
      <c r="AF112" s="1"/>
      <c r="AG112" s="1"/>
      <c r="AH112" s="16" t="e">
        <f t="shared" si="10"/>
        <v>#DIV/0!</v>
      </c>
      <c r="AI112" s="6"/>
      <c r="AJ112" s="6"/>
      <c r="AK112" s="16" t="e">
        <f t="shared" si="11"/>
        <v>#DIV/0!</v>
      </c>
      <c r="AL112" s="16"/>
      <c r="AM112" s="17" t="e">
        <f t="shared" si="12"/>
        <v>#DIV/0!</v>
      </c>
      <c r="AN112" s="17"/>
      <c r="AO112" s="18" t="e">
        <f t="shared" si="13"/>
        <v>#DIV/0!</v>
      </c>
      <c r="AP112" s="18"/>
      <c r="AQ112" s="19" t="e">
        <f t="shared" si="14"/>
        <v>#DIV/0!</v>
      </c>
      <c r="AR112" s="19"/>
      <c r="AS112" s="11" t="e">
        <f t="shared" si="15"/>
        <v>#DIV/0!</v>
      </c>
      <c r="AT112" s="11"/>
      <c r="AU112" s="1"/>
      <c r="AV112" s="1"/>
      <c r="AW112" s="1"/>
      <c r="AX112" s="1"/>
      <c r="AY112" s="1"/>
      <c r="AZ112" s="1"/>
    </row>
    <row r="113" spans="1:52" s="12" customFormat="1" ht="14.4" customHeight="1" x14ac:dyDescent="0.3">
      <c r="A113" s="1"/>
      <c r="B113" s="1"/>
      <c r="C113" s="2"/>
      <c r="D113" s="3"/>
      <c r="E113" s="27"/>
      <c r="F113" s="1"/>
      <c r="G113" s="1"/>
      <c r="H113" s="14" t="s">
        <v>11</v>
      </c>
      <c r="I113" s="13"/>
      <c r="J113" s="13"/>
      <c r="K113" s="602" t="e">
        <f>M113*K70</f>
        <v>#DIV/0!</v>
      </c>
      <c r="L113" s="15">
        <v>15</v>
      </c>
      <c r="M113" s="591">
        <v>0.15117</v>
      </c>
      <c r="N113" s="609" t="s">
        <v>90</v>
      </c>
      <c r="O113" s="602" t="e">
        <f t="shared" si="0"/>
        <v>#DIV/0!</v>
      </c>
      <c r="P113" s="15">
        <f t="shared" si="1"/>
        <v>15</v>
      </c>
      <c r="Q113" s="602" t="e">
        <f t="shared" si="2"/>
        <v>#DIV/0!</v>
      </c>
      <c r="R113" s="15">
        <f t="shared" si="3"/>
        <v>15</v>
      </c>
      <c r="S113" s="602" t="e">
        <f t="shared" si="4"/>
        <v>#DIV/0!</v>
      </c>
      <c r="T113" s="15">
        <f t="shared" si="5"/>
        <v>15</v>
      </c>
      <c r="U113" s="602" t="e">
        <f t="shared" si="6"/>
        <v>#DIV/0!</v>
      </c>
      <c r="V113" s="15">
        <f t="shared" si="7"/>
        <v>15</v>
      </c>
      <c r="W113" s="602" t="e">
        <f t="shared" si="8"/>
        <v>#DIV/0!</v>
      </c>
      <c r="X113" s="15">
        <f t="shared" si="9"/>
        <v>15</v>
      </c>
      <c r="Y113" s="26"/>
      <c r="Z113" s="1"/>
      <c r="AA113" s="1"/>
      <c r="AB113" s="1"/>
      <c r="AC113" s="1"/>
      <c r="AD113" s="1"/>
      <c r="AE113" s="1"/>
      <c r="AF113" s="1"/>
      <c r="AG113" s="1"/>
      <c r="AH113" s="16" t="e">
        <f t="shared" si="10"/>
        <v>#DIV/0!</v>
      </c>
      <c r="AI113" s="6"/>
      <c r="AJ113" s="6"/>
      <c r="AK113" s="16" t="e">
        <f t="shared" si="11"/>
        <v>#DIV/0!</v>
      </c>
      <c r="AL113" s="16"/>
      <c r="AM113" s="17" t="e">
        <f t="shared" si="12"/>
        <v>#DIV/0!</v>
      </c>
      <c r="AN113" s="17"/>
      <c r="AO113" s="18" t="e">
        <f t="shared" si="13"/>
        <v>#DIV/0!</v>
      </c>
      <c r="AP113" s="18"/>
      <c r="AQ113" s="19" t="e">
        <f t="shared" si="14"/>
        <v>#DIV/0!</v>
      </c>
      <c r="AR113" s="19"/>
      <c r="AS113" s="11" t="e">
        <f t="shared" si="15"/>
        <v>#DIV/0!</v>
      </c>
      <c r="AT113" s="11"/>
      <c r="AU113" s="1"/>
      <c r="AV113" s="1"/>
      <c r="AW113" s="1"/>
      <c r="AX113" s="1"/>
      <c r="AY113" s="1"/>
      <c r="AZ113" s="1"/>
    </row>
    <row r="114" spans="1:52" s="12" customFormat="1" ht="14.4" customHeight="1" x14ac:dyDescent="0.3">
      <c r="A114" s="1"/>
      <c r="B114" s="1"/>
      <c r="C114" s="2"/>
      <c r="D114" s="20"/>
      <c r="E114" s="1"/>
      <c r="F114" s="1"/>
      <c r="G114" s="1"/>
      <c r="H114" s="21" t="s">
        <v>12</v>
      </c>
      <c r="I114" s="22"/>
      <c r="J114" s="22"/>
      <c r="K114" s="603" t="e">
        <f>M114*K70</f>
        <v>#DIV/0!</v>
      </c>
      <c r="L114" s="23">
        <v>15</v>
      </c>
      <c r="M114" s="589">
        <v>1.47156</v>
      </c>
      <c r="N114" s="607" t="s">
        <v>90</v>
      </c>
      <c r="O114" s="603" t="e">
        <f>$M114*O99</f>
        <v>#DIV/0!</v>
      </c>
      <c r="P114" s="23">
        <f t="shared" si="1"/>
        <v>15</v>
      </c>
      <c r="Q114" s="603" t="e">
        <f>$M114*Q99</f>
        <v>#DIV/0!</v>
      </c>
      <c r="R114" s="23">
        <f t="shared" si="3"/>
        <v>15</v>
      </c>
      <c r="S114" s="603" t="e">
        <f>$M114*S99</f>
        <v>#DIV/0!</v>
      </c>
      <c r="T114" s="23">
        <f t="shared" si="5"/>
        <v>15</v>
      </c>
      <c r="U114" s="603" t="e">
        <f>$M114*U99</f>
        <v>#DIV/0!</v>
      </c>
      <c r="V114" s="23">
        <f t="shared" si="7"/>
        <v>15</v>
      </c>
      <c r="W114" s="603" t="e">
        <f>$M114*W99</f>
        <v>#DIV/0!</v>
      </c>
      <c r="X114" s="23">
        <f t="shared" si="9"/>
        <v>15</v>
      </c>
      <c r="Y114" s="26"/>
      <c r="Z114" s="1"/>
      <c r="AA114" s="1"/>
      <c r="AB114" s="1"/>
      <c r="AC114" s="1"/>
      <c r="AD114" s="1"/>
      <c r="AE114" s="1"/>
      <c r="AF114" s="1"/>
      <c r="AG114" s="1"/>
      <c r="AH114" s="16" t="e">
        <f t="shared" si="10"/>
        <v>#DIV/0!</v>
      </c>
      <c r="AI114" s="6"/>
      <c r="AJ114" s="6"/>
      <c r="AK114" s="16" t="e">
        <f t="shared" si="11"/>
        <v>#DIV/0!</v>
      </c>
      <c r="AL114" s="16"/>
      <c r="AM114" s="17" t="e">
        <f t="shared" si="12"/>
        <v>#DIV/0!</v>
      </c>
      <c r="AN114" s="17"/>
      <c r="AO114" s="18" t="e">
        <f t="shared" si="13"/>
        <v>#DIV/0!</v>
      </c>
      <c r="AP114" s="18"/>
      <c r="AQ114" s="19" t="e">
        <f t="shared" si="14"/>
        <v>#DIV/0!</v>
      </c>
      <c r="AR114" s="19"/>
      <c r="AS114" s="11" t="e">
        <f t="shared" si="15"/>
        <v>#DIV/0!</v>
      </c>
      <c r="AT114" s="11"/>
      <c r="AU114" s="1"/>
      <c r="AV114" s="1"/>
      <c r="AW114" s="1"/>
      <c r="AX114" s="1"/>
      <c r="AY114" s="1"/>
      <c r="AZ114" s="1"/>
    </row>
    <row r="115" spans="1:52" s="12" customFormat="1" ht="14.4" customHeight="1" thickBot="1" x14ac:dyDescent="0.35">
      <c r="A115" s="1"/>
      <c r="B115" s="1"/>
      <c r="C115" s="2"/>
      <c r="D115" s="3"/>
      <c r="E115" s="1"/>
      <c r="F115" s="1"/>
      <c r="G115" s="1"/>
      <c r="H115" s="24" t="s">
        <v>134</v>
      </c>
      <c r="I115" s="25"/>
      <c r="J115" s="25"/>
      <c r="K115" s="604" t="e">
        <f>M115*K74</f>
        <v>#DIV/0!</v>
      </c>
      <c r="L115" s="4">
        <v>25</v>
      </c>
      <c r="M115" s="590">
        <v>42.717739999999999</v>
      </c>
      <c r="N115" s="608" t="s">
        <v>89</v>
      </c>
      <c r="O115" s="604" t="e">
        <f>IF($AE90=4,O98*$M115,IF(O98-$K98&gt;1,$M115*(O98-$K98),0))</f>
        <v>#DIV/0!</v>
      </c>
      <c r="P115" s="4">
        <f t="shared" si="1"/>
        <v>25</v>
      </c>
      <c r="Q115" s="604" t="e">
        <f>IF($AE90=4,Q98*$M115,IF(Q98-$K98&gt;1,$M115*(Q98-$K98),0))</f>
        <v>#DIV/0!</v>
      </c>
      <c r="R115" s="4">
        <f t="shared" si="3"/>
        <v>25</v>
      </c>
      <c r="S115" s="604" t="e">
        <f>IF($AE90=4,S98*$M115,IF(S98-$K98&gt;1,$M115*(S98-$K98),0))</f>
        <v>#DIV/0!</v>
      </c>
      <c r="T115" s="4">
        <f t="shared" si="5"/>
        <v>25</v>
      </c>
      <c r="U115" s="604" t="e">
        <f>IF($AE90=4,U98*$M115,IF(U98-$K98&gt;1,$M115*(U98-$K98),0))</f>
        <v>#DIV/0!</v>
      </c>
      <c r="V115" s="4">
        <f t="shared" si="7"/>
        <v>25</v>
      </c>
      <c r="W115" s="604" t="e">
        <f>IF($AE90=4,W98*$M115,IF(W98-$K98&gt;1,$M115*(W98-$K98),0))</f>
        <v>#DIV/0!</v>
      </c>
      <c r="X115" s="4">
        <f t="shared" si="9"/>
        <v>25</v>
      </c>
      <c r="Y115" s="26"/>
      <c r="Z115" s="1"/>
      <c r="AA115" s="1"/>
      <c r="AB115" s="1"/>
      <c r="AC115" s="1"/>
      <c r="AD115" s="1"/>
      <c r="AE115" s="1"/>
      <c r="AF115" s="1"/>
      <c r="AG115" s="1"/>
      <c r="AH115" s="16" t="e">
        <f t="shared" si="10"/>
        <v>#DIV/0!</v>
      </c>
      <c r="AI115" s="6"/>
      <c r="AJ115" s="6"/>
      <c r="AK115" s="16" t="e">
        <f t="shared" si="11"/>
        <v>#DIV/0!</v>
      </c>
      <c r="AL115" s="16"/>
      <c r="AM115" s="17" t="e">
        <f t="shared" si="12"/>
        <v>#DIV/0!</v>
      </c>
      <c r="AN115" s="17"/>
      <c r="AO115" s="18" t="e">
        <f t="shared" si="13"/>
        <v>#DIV/0!</v>
      </c>
      <c r="AP115" s="18"/>
      <c r="AQ115" s="19" t="e">
        <f t="shared" si="14"/>
        <v>#DIV/0!</v>
      </c>
      <c r="AR115" s="19"/>
      <c r="AS115" s="11" t="e">
        <f t="shared" si="15"/>
        <v>#DIV/0!</v>
      </c>
      <c r="AT115" s="11"/>
      <c r="AU115" s="1"/>
      <c r="AV115" s="1"/>
      <c r="AW115" s="1"/>
      <c r="AX115" s="1"/>
      <c r="AY115" s="1"/>
      <c r="AZ115" s="1"/>
    </row>
    <row r="116" spans="1:52" s="12" customFormat="1" ht="14.4" customHeight="1" x14ac:dyDescent="0.3">
      <c r="A116" s="1"/>
      <c r="B116" s="1"/>
      <c r="C116" s="2"/>
      <c r="D116" s="3"/>
      <c r="E116" s="1"/>
      <c r="F116" s="1"/>
      <c r="G116" s="1"/>
      <c r="H116" s="1343" t="s">
        <v>13</v>
      </c>
      <c r="I116" s="1344"/>
      <c r="J116" s="1344"/>
      <c r="K116" s="602"/>
      <c r="L116" s="15">
        <v>25</v>
      </c>
      <c r="M116" s="592"/>
      <c r="N116" s="609"/>
      <c r="O116" s="602" t="e">
        <f>IF(O101&gt;100,$K116,0)</f>
        <v>#DIV/0!</v>
      </c>
      <c r="P116" s="15">
        <f t="shared" si="1"/>
        <v>25</v>
      </c>
      <c r="Q116" s="602" t="e">
        <f>IF(Q101&gt;100,$K116,0)</f>
        <v>#DIV/0!</v>
      </c>
      <c r="R116" s="15">
        <f t="shared" si="3"/>
        <v>25</v>
      </c>
      <c r="S116" s="602" t="e">
        <f>IF(S101&gt;100,$K116,0)</f>
        <v>#DIV/0!</v>
      </c>
      <c r="T116" s="15">
        <f t="shared" si="5"/>
        <v>25</v>
      </c>
      <c r="U116" s="602" t="e">
        <f>IF(U101&gt;100,$K116,0)</f>
        <v>#DIV/0!</v>
      </c>
      <c r="V116" s="15">
        <f t="shared" si="7"/>
        <v>25</v>
      </c>
      <c r="W116" s="602" t="e">
        <f>IF(W101&gt;100,$K116,0)</f>
        <v>#DIV/0!</v>
      </c>
      <c r="X116" s="15">
        <f t="shared" si="9"/>
        <v>25</v>
      </c>
      <c r="Y116" s="1"/>
      <c r="Z116" s="1"/>
      <c r="AA116" s="1"/>
      <c r="AB116" s="1"/>
      <c r="AC116" s="1"/>
      <c r="AD116" s="1"/>
      <c r="AE116" s="1"/>
      <c r="AF116" s="1"/>
      <c r="AG116" s="1"/>
      <c r="AH116" s="16">
        <f t="shared" si="10"/>
        <v>0</v>
      </c>
      <c r="AI116" s="6"/>
      <c r="AJ116" s="6"/>
      <c r="AK116" s="16" t="e">
        <f t="shared" si="11"/>
        <v>#DIV/0!</v>
      </c>
      <c r="AL116" s="16"/>
      <c r="AM116" s="17" t="e">
        <f t="shared" si="12"/>
        <v>#DIV/0!</v>
      </c>
      <c r="AN116" s="17"/>
      <c r="AO116" s="18" t="e">
        <f t="shared" si="13"/>
        <v>#DIV/0!</v>
      </c>
      <c r="AP116" s="18"/>
      <c r="AQ116" s="19" t="e">
        <f t="shared" si="14"/>
        <v>#DIV/0!</v>
      </c>
      <c r="AR116" s="19"/>
      <c r="AS116" s="11" t="e">
        <f t="shared" si="15"/>
        <v>#DIV/0!</v>
      </c>
      <c r="AT116" s="11"/>
      <c r="AU116" s="1"/>
      <c r="AV116" s="1"/>
      <c r="AW116" s="1"/>
      <c r="AX116" s="1"/>
      <c r="AY116" s="1"/>
      <c r="AZ116" s="1"/>
    </row>
    <row r="117" spans="1:52" s="12" customFormat="1" ht="14.4" customHeight="1" x14ac:dyDescent="0.3">
      <c r="A117" s="1"/>
      <c r="B117" s="1"/>
      <c r="C117" s="2"/>
      <c r="D117" s="20"/>
      <c r="E117" s="1"/>
      <c r="F117" s="1"/>
      <c r="G117" s="1"/>
      <c r="H117" s="21" t="s">
        <v>190</v>
      </c>
      <c r="I117" s="22"/>
      <c r="J117" s="22"/>
      <c r="K117" s="603">
        <v>0</v>
      </c>
      <c r="L117" s="23">
        <v>25</v>
      </c>
      <c r="M117" s="589" t="e">
        <f>K117/K70</f>
        <v>#DIV/0!</v>
      </c>
      <c r="N117" s="607" t="s">
        <v>90</v>
      </c>
      <c r="O117" s="603" t="e">
        <f>$M117*O101</f>
        <v>#DIV/0!</v>
      </c>
      <c r="P117" s="23">
        <f t="shared" si="1"/>
        <v>25</v>
      </c>
      <c r="Q117" s="603" t="e">
        <f>$M117*Q101</f>
        <v>#DIV/0!</v>
      </c>
      <c r="R117" s="23">
        <f t="shared" si="3"/>
        <v>25</v>
      </c>
      <c r="S117" s="603" t="e">
        <f>$M117*S101</f>
        <v>#DIV/0!</v>
      </c>
      <c r="T117" s="23">
        <f t="shared" si="5"/>
        <v>25</v>
      </c>
      <c r="U117" s="603" t="e">
        <f>$M117*U101</f>
        <v>#DIV/0!</v>
      </c>
      <c r="V117" s="23">
        <f t="shared" si="7"/>
        <v>25</v>
      </c>
      <c r="W117" s="603" t="e">
        <f>$M117*W101</f>
        <v>#DIV/0!</v>
      </c>
      <c r="X117" s="23">
        <f t="shared" si="9"/>
        <v>25</v>
      </c>
      <c r="Y117" s="1"/>
      <c r="Z117" s="1"/>
      <c r="AA117" s="1"/>
      <c r="AB117" s="1"/>
      <c r="AC117" s="1"/>
      <c r="AD117" s="1"/>
      <c r="AE117" s="1"/>
      <c r="AF117" s="1"/>
      <c r="AG117" s="1"/>
      <c r="AH117" s="16">
        <f t="shared" si="10"/>
        <v>0</v>
      </c>
      <c r="AI117" s="6"/>
      <c r="AJ117" s="6"/>
      <c r="AK117" s="16" t="e">
        <f t="shared" si="11"/>
        <v>#DIV/0!</v>
      </c>
      <c r="AL117" s="16"/>
      <c r="AM117" s="17" t="e">
        <f t="shared" si="12"/>
        <v>#DIV/0!</v>
      </c>
      <c r="AN117" s="17"/>
      <c r="AO117" s="18" t="e">
        <f t="shared" si="13"/>
        <v>#DIV/0!</v>
      </c>
      <c r="AP117" s="18"/>
      <c r="AQ117" s="19" t="e">
        <f t="shared" si="14"/>
        <v>#DIV/0!</v>
      </c>
      <c r="AR117" s="19"/>
      <c r="AS117" s="11" t="e">
        <f t="shared" si="15"/>
        <v>#DIV/0!</v>
      </c>
      <c r="AT117" s="11"/>
      <c r="AU117" s="1"/>
      <c r="AV117" s="1"/>
      <c r="AW117" s="1"/>
      <c r="AX117" s="1"/>
      <c r="AY117" s="1"/>
      <c r="AZ117" s="1"/>
    </row>
    <row r="118" spans="1:52" s="12" customFormat="1" ht="14.4" customHeight="1" thickBot="1" x14ac:dyDescent="0.35">
      <c r="A118" s="1"/>
      <c r="B118" s="1"/>
      <c r="C118" s="2"/>
      <c r="D118" s="20"/>
      <c r="E118" s="1"/>
      <c r="F118" s="1"/>
      <c r="G118" s="1"/>
      <c r="H118" s="24" t="s">
        <v>24</v>
      </c>
      <c r="I118" s="25"/>
      <c r="J118" s="25"/>
      <c r="K118" s="604" t="e">
        <f>M118*K70</f>
        <v>#DIV/0!</v>
      </c>
      <c r="L118" s="4">
        <v>25</v>
      </c>
      <c r="M118" s="590">
        <v>4.71889</v>
      </c>
      <c r="N118" s="608" t="s">
        <v>90</v>
      </c>
      <c r="O118" s="604" t="e">
        <f>(O100+O101)*$M118</f>
        <v>#DIV/0!</v>
      </c>
      <c r="P118" s="4">
        <f t="shared" si="1"/>
        <v>25</v>
      </c>
      <c r="Q118" s="604" t="e">
        <f>(Q100+Q101)*$M118</f>
        <v>#DIV/0!</v>
      </c>
      <c r="R118" s="4">
        <f t="shared" si="3"/>
        <v>25</v>
      </c>
      <c r="S118" s="604" t="e">
        <f>(S100+S101)*$M118</f>
        <v>#DIV/0!</v>
      </c>
      <c r="T118" s="4">
        <f t="shared" si="5"/>
        <v>25</v>
      </c>
      <c r="U118" s="604" t="e">
        <f>(U100+U101)*$M118</f>
        <v>#DIV/0!</v>
      </c>
      <c r="V118" s="4">
        <f t="shared" si="7"/>
        <v>25</v>
      </c>
      <c r="W118" s="604" t="e">
        <f>(W100+W101)*$M118</f>
        <v>#DIV/0!</v>
      </c>
      <c r="X118" s="4">
        <f t="shared" si="9"/>
        <v>25</v>
      </c>
      <c r="Y118" s="1"/>
      <c r="Z118" s="1"/>
      <c r="AA118" s="1"/>
      <c r="AB118" s="1"/>
      <c r="AC118" s="1"/>
      <c r="AD118" s="1"/>
      <c r="AE118" s="1"/>
      <c r="AF118" s="1"/>
      <c r="AG118" s="1"/>
      <c r="AH118" s="16" t="e">
        <f t="shared" si="10"/>
        <v>#DIV/0!</v>
      </c>
      <c r="AI118" s="6"/>
      <c r="AJ118" s="6"/>
      <c r="AK118" s="16" t="e">
        <f t="shared" si="11"/>
        <v>#DIV/0!</v>
      </c>
      <c r="AL118" s="16"/>
      <c r="AM118" s="17" t="e">
        <f t="shared" si="12"/>
        <v>#DIV/0!</v>
      </c>
      <c r="AN118" s="17"/>
      <c r="AO118" s="18" t="e">
        <f t="shared" si="13"/>
        <v>#DIV/0!</v>
      </c>
      <c r="AP118" s="18"/>
      <c r="AQ118" s="19" t="e">
        <f t="shared" si="14"/>
        <v>#DIV/0!</v>
      </c>
      <c r="AR118" s="19"/>
      <c r="AS118" s="11" t="e">
        <f t="shared" si="15"/>
        <v>#DIV/0!</v>
      </c>
      <c r="AT118" s="11"/>
      <c r="AU118" s="1"/>
      <c r="AV118" s="1"/>
      <c r="AW118" s="1"/>
      <c r="AX118" s="1"/>
      <c r="AY118" s="1"/>
      <c r="AZ118" s="1"/>
    </row>
    <row r="119" spans="1:52" s="12" customFormat="1" ht="14.4" customHeight="1" x14ac:dyDescent="0.3">
      <c r="A119" s="1"/>
      <c r="B119" s="1"/>
      <c r="C119" s="2"/>
      <c r="D119" s="3"/>
      <c r="E119" s="1"/>
      <c r="F119" s="1"/>
      <c r="G119" s="1"/>
      <c r="H119" s="28" t="s">
        <v>272</v>
      </c>
      <c r="I119" s="29"/>
      <c r="J119" s="29"/>
      <c r="K119" s="602" t="e">
        <f>M119*K95</f>
        <v>#DIV/0!</v>
      </c>
      <c r="L119" s="15">
        <v>15</v>
      </c>
      <c r="M119" s="593">
        <v>24.013369999999998</v>
      </c>
      <c r="N119" s="609" t="s">
        <v>89</v>
      </c>
      <c r="O119" s="602" t="e">
        <f>$M119*O95</f>
        <v>#DIV/0!</v>
      </c>
      <c r="P119" s="15">
        <f t="shared" si="1"/>
        <v>15</v>
      </c>
      <c r="Q119" s="602" t="e">
        <f>33.36*Q95</f>
        <v>#DIV/0!</v>
      </c>
      <c r="R119" s="15">
        <f t="shared" si="3"/>
        <v>15</v>
      </c>
      <c r="S119" s="602" t="e">
        <f>49*S95</f>
        <v>#DIV/0!</v>
      </c>
      <c r="T119" s="15">
        <f t="shared" si="5"/>
        <v>15</v>
      </c>
      <c r="U119" s="602" t="e">
        <f>$M119*U95</f>
        <v>#DIV/0!</v>
      </c>
      <c r="V119" s="15">
        <f t="shared" si="7"/>
        <v>15</v>
      </c>
      <c r="W119" s="602" t="e">
        <f>38*W95</f>
        <v>#DIV/0!</v>
      </c>
      <c r="X119" s="15">
        <f t="shared" si="9"/>
        <v>15</v>
      </c>
      <c r="Y119" s="1"/>
      <c r="Z119" s="1"/>
      <c r="AA119" s="1"/>
      <c r="AB119" s="1"/>
      <c r="AC119" s="1"/>
      <c r="AD119" s="1"/>
      <c r="AE119" s="1"/>
      <c r="AF119" s="1"/>
      <c r="AG119" s="1"/>
      <c r="AH119" s="16" t="e">
        <f>PMT($I$42,L119,K119,0,0)</f>
        <v>#DIV/0!</v>
      </c>
      <c r="AI119" s="6"/>
      <c r="AJ119" s="6"/>
      <c r="AK119" s="16" t="e">
        <f>PMT($I$42,P119,O119,0,0)</f>
        <v>#DIV/0!</v>
      </c>
      <c r="AL119" s="16"/>
      <c r="AM119" s="17" t="e">
        <f>PMT($I$42,R119,Q119,0,0)</f>
        <v>#DIV/0!</v>
      </c>
      <c r="AN119" s="17"/>
      <c r="AO119" s="18" t="e">
        <f>PMT($I$42,T119,S119,0,0)</f>
        <v>#DIV/0!</v>
      </c>
      <c r="AP119" s="18"/>
      <c r="AQ119" s="19" t="e">
        <f>PMT($I$42,V119,U119,0,0)</f>
        <v>#DIV/0!</v>
      </c>
      <c r="AR119" s="19"/>
      <c r="AS119" s="11" t="e">
        <f>PMT($I$42,X119,W119,0,0)</f>
        <v>#DIV/0!</v>
      </c>
      <c r="AT119" s="11"/>
      <c r="AU119" s="1"/>
      <c r="AV119" s="1"/>
      <c r="AW119" s="1"/>
      <c r="AX119" s="1"/>
      <c r="AY119" s="1"/>
      <c r="AZ119" s="1"/>
    </row>
    <row r="120" spans="1:52" s="12" customFormat="1" ht="14.4" customHeight="1" x14ac:dyDescent="0.3">
      <c r="A120" s="1"/>
      <c r="B120" s="1"/>
      <c r="C120" s="30"/>
      <c r="D120" s="27"/>
      <c r="E120" s="27"/>
      <c r="F120" s="1"/>
      <c r="G120" s="1"/>
      <c r="H120" s="31" t="s">
        <v>273</v>
      </c>
      <c r="I120" s="32"/>
      <c r="J120" s="32"/>
      <c r="K120" s="603" t="e">
        <f>M120*K96</f>
        <v>#DIV/0!</v>
      </c>
      <c r="L120" s="23">
        <v>15</v>
      </c>
      <c r="M120" s="594">
        <v>29.52281</v>
      </c>
      <c r="N120" s="607" t="s">
        <v>89</v>
      </c>
      <c r="O120" s="603" t="e">
        <f>$M120*O96</f>
        <v>#DIV/0!</v>
      </c>
      <c r="P120" s="23">
        <f t="shared" si="1"/>
        <v>15</v>
      </c>
      <c r="Q120" s="603" t="e">
        <f>$M120*Q96</f>
        <v>#DIV/0!</v>
      </c>
      <c r="R120" s="23">
        <f t="shared" si="3"/>
        <v>15</v>
      </c>
      <c r="S120" s="603" t="e">
        <f>$M120*S96</f>
        <v>#DIV/0!</v>
      </c>
      <c r="T120" s="23">
        <f t="shared" si="5"/>
        <v>15</v>
      </c>
      <c r="U120" s="603" t="e">
        <f>$M120*U96</f>
        <v>#DIV/0!</v>
      </c>
      <c r="V120" s="23">
        <f t="shared" si="7"/>
        <v>15</v>
      </c>
      <c r="W120" s="603" t="e">
        <f>$M120*W96</f>
        <v>#DIV/0!</v>
      </c>
      <c r="X120" s="23">
        <f t="shared" si="9"/>
        <v>15</v>
      </c>
      <c r="Y120" s="1"/>
      <c r="Z120" s="1"/>
      <c r="AA120" s="1"/>
      <c r="AB120" s="1"/>
      <c r="AC120" s="1"/>
      <c r="AD120" s="1"/>
      <c r="AE120" s="1"/>
      <c r="AF120" s="1"/>
      <c r="AG120" s="1"/>
      <c r="AH120" s="16" t="e">
        <f>PMT($I$42,L120,K120,0,0)</f>
        <v>#DIV/0!</v>
      </c>
      <c r="AI120" s="6"/>
      <c r="AJ120" s="6"/>
      <c r="AK120" s="16" t="e">
        <f>PMT($I$42,P120,O120,0,0)</f>
        <v>#DIV/0!</v>
      </c>
      <c r="AL120" s="16"/>
      <c r="AM120" s="17" t="e">
        <f>PMT($I$42,R120,Q120,0,0)</f>
        <v>#DIV/0!</v>
      </c>
      <c r="AN120" s="17"/>
      <c r="AO120" s="18" t="e">
        <f>PMT($I$42,T120,S120,0,0)</f>
        <v>#DIV/0!</v>
      </c>
      <c r="AP120" s="18"/>
      <c r="AQ120" s="19" t="e">
        <f>PMT($I$42,V120,U120,0,0)</f>
        <v>#DIV/0!</v>
      </c>
      <c r="AR120" s="19"/>
      <c r="AS120" s="11" t="e">
        <f>PMT($I$42,X120,W120,0,0)</f>
        <v>#DIV/0!</v>
      </c>
      <c r="AT120" s="11"/>
      <c r="AU120" s="1"/>
      <c r="AV120" s="1"/>
      <c r="AW120" s="1"/>
      <c r="AX120" s="1"/>
      <c r="AY120" s="1"/>
      <c r="AZ120" s="1"/>
    </row>
    <row r="121" spans="1:52" s="12" customFormat="1" ht="14.4" customHeight="1" thickBot="1" x14ac:dyDescent="0.35">
      <c r="A121" s="1"/>
      <c r="B121" s="1"/>
      <c r="C121" s="2"/>
      <c r="D121" s="3"/>
      <c r="E121" s="1"/>
      <c r="F121" s="1"/>
      <c r="G121" s="1"/>
      <c r="H121" s="31" t="s">
        <v>271</v>
      </c>
      <c r="I121" s="32"/>
      <c r="J121" s="32"/>
      <c r="K121" s="605" t="e">
        <f>M121*K97</f>
        <v>#DIV/0!</v>
      </c>
      <c r="L121" s="33">
        <v>15</v>
      </c>
      <c r="M121" s="595">
        <v>26.0349</v>
      </c>
      <c r="N121" s="610" t="s">
        <v>89</v>
      </c>
      <c r="O121" s="605" t="e">
        <f>$M121*O97</f>
        <v>#DIV/0!</v>
      </c>
      <c r="P121" s="33">
        <f t="shared" si="1"/>
        <v>15</v>
      </c>
      <c r="Q121" s="605" t="e">
        <f>$M121*Q97</f>
        <v>#DIV/0!</v>
      </c>
      <c r="R121" s="33">
        <f t="shared" si="3"/>
        <v>15</v>
      </c>
      <c r="S121" s="605" t="e">
        <f>$M121*S97</f>
        <v>#DIV/0!</v>
      </c>
      <c r="T121" s="33">
        <f t="shared" si="5"/>
        <v>15</v>
      </c>
      <c r="U121" s="605" t="e">
        <f>$M121*U97</f>
        <v>#DIV/0!</v>
      </c>
      <c r="V121" s="33">
        <f t="shared" si="7"/>
        <v>15</v>
      </c>
      <c r="W121" s="605" t="e">
        <f>$M121*W97</f>
        <v>#DIV/0!</v>
      </c>
      <c r="X121" s="33">
        <f t="shared" si="9"/>
        <v>15</v>
      </c>
      <c r="Y121" s="1"/>
      <c r="Z121" s="1"/>
      <c r="AA121" s="1"/>
      <c r="AB121" s="1"/>
      <c r="AC121" s="1"/>
      <c r="AD121" s="1"/>
      <c r="AE121" s="1"/>
      <c r="AF121" s="1"/>
      <c r="AG121" s="1"/>
      <c r="AH121" s="16" t="e">
        <f>PMT($I$42,L121,K121,0,0)</f>
        <v>#DIV/0!</v>
      </c>
      <c r="AI121" s="6"/>
      <c r="AJ121" s="6"/>
      <c r="AK121" s="16" t="e">
        <f>PMT($I$42,P121,O121,0,0)</f>
        <v>#DIV/0!</v>
      </c>
      <c r="AL121" s="16"/>
      <c r="AM121" s="17" t="e">
        <f>PMT($I$42,R121,Q121,0,0)</f>
        <v>#DIV/0!</v>
      </c>
      <c r="AN121" s="17"/>
      <c r="AO121" s="18" t="e">
        <f>PMT($I$42,T121,S121,0,0)</f>
        <v>#DIV/0!</v>
      </c>
      <c r="AP121" s="18"/>
      <c r="AQ121" s="19" t="e">
        <f>PMT($I$42,V121,U121,0,0)</f>
        <v>#DIV/0!</v>
      </c>
      <c r="AR121" s="19"/>
      <c r="AS121" s="11" t="e">
        <f>PMT($I$42,X121,W121,0,0)</f>
        <v>#DIV/0!</v>
      </c>
      <c r="AT121" s="11"/>
      <c r="AU121" s="1"/>
      <c r="AV121" s="1"/>
      <c r="AW121" s="1"/>
      <c r="AX121" s="1"/>
      <c r="AY121" s="1"/>
      <c r="AZ121" s="1"/>
    </row>
    <row r="122" spans="1:52" s="12" customFormat="1" ht="14.4" customHeight="1" x14ac:dyDescent="0.3">
      <c r="A122" s="1"/>
      <c r="B122" s="1"/>
      <c r="C122" s="2"/>
      <c r="D122" s="3"/>
      <c r="E122" s="1"/>
      <c r="F122" s="1"/>
      <c r="G122" s="1"/>
      <c r="H122" s="1333" t="s">
        <v>129</v>
      </c>
      <c r="I122" s="1334"/>
      <c r="J122" s="1335"/>
      <c r="K122" s="602"/>
      <c r="L122" s="15">
        <v>15</v>
      </c>
      <c r="M122" s="596"/>
      <c r="N122" s="609"/>
      <c r="O122" s="602">
        <v>0</v>
      </c>
      <c r="P122" s="15">
        <f t="shared" si="1"/>
        <v>15</v>
      </c>
      <c r="Q122" s="602">
        <v>0</v>
      </c>
      <c r="R122" s="15">
        <f t="shared" si="3"/>
        <v>15</v>
      </c>
      <c r="S122" s="602">
        <v>0</v>
      </c>
      <c r="T122" s="15">
        <f t="shared" si="5"/>
        <v>15</v>
      </c>
      <c r="U122" s="602" t="e">
        <f>220*U95</f>
        <v>#DIV/0!</v>
      </c>
      <c r="V122" s="15">
        <f t="shared" si="7"/>
        <v>15</v>
      </c>
      <c r="W122" s="602">
        <v>0</v>
      </c>
      <c r="X122" s="15">
        <f t="shared" si="9"/>
        <v>15</v>
      </c>
      <c r="Y122" s="1"/>
      <c r="Z122" s="1"/>
      <c r="AA122" s="1"/>
      <c r="AB122" s="1"/>
      <c r="AC122" s="1"/>
      <c r="AD122" s="1"/>
      <c r="AE122" s="1"/>
      <c r="AF122" s="1"/>
      <c r="AG122" s="1"/>
      <c r="AH122" s="16">
        <f t="shared" si="10"/>
        <v>0</v>
      </c>
      <c r="AI122" s="6"/>
      <c r="AJ122" s="6"/>
      <c r="AK122" s="16">
        <f t="shared" si="11"/>
        <v>0</v>
      </c>
      <c r="AL122" s="16"/>
      <c r="AM122" s="17">
        <f t="shared" si="12"/>
        <v>0</v>
      </c>
      <c r="AN122" s="17"/>
      <c r="AO122" s="18">
        <f t="shared" si="13"/>
        <v>0</v>
      </c>
      <c r="AP122" s="18"/>
      <c r="AQ122" s="19" t="e">
        <f t="shared" si="14"/>
        <v>#DIV/0!</v>
      </c>
      <c r="AR122" s="19"/>
      <c r="AS122" s="11">
        <f t="shared" si="15"/>
        <v>0</v>
      </c>
      <c r="AT122" s="11"/>
      <c r="AU122" s="1"/>
      <c r="AV122" s="1"/>
      <c r="AW122" s="1"/>
      <c r="AX122" s="1"/>
      <c r="AY122" s="1"/>
      <c r="AZ122" s="1"/>
    </row>
    <row r="123" spans="1:52" s="12" customFormat="1" ht="14.4" customHeight="1" x14ac:dyDescent="0.3">
      <c r="A123" s="1"/>
      <c r="B123" s="1"/>
      <c r="C123" s="2"/>
      <c r="D123" s="3"/>
      <c r="E123" s="1"/>
      <c r="F123" s="1"/>
      <c r="G123" s="1"/>
      <c r="H123" s="1336" t="s">
        <v>191</v>
      </c>
      <c r="I123" s="1337"/>
      <c r="J123" s="1338"/>
      <c r="K123" s="603">
        <v>5000</v>
      </c>
      <c r="L123" s="23">
        <v>15</v>
      </c>
      <c r="M123" s="594">
        <f>K123/654</f>
        <v>7.6452599388379205</v>
      </c>
      <c r="N123" s="610" t="s">
        <v>89</v>
      </c>
      <c r="O123" s="603" t="e">
        <f>$M123*O96</f>
        <v>#DIV/0!</v>
      </c>
      <c r="P123" s="23">
        <f t="shared" si="1"/>
        <v>15</v>
      </c>
      <c r="Q123" s="603" t="e">
        <f>$M123*Q96</f>
        <v>#DIV/0!</v>
      </c>
      <c r="R123" s="23">
        <f t="shared" si="3"/>
        <v>15</v>
      </c>
      <c r="S123" s="603" t="e">
        <f>$M123*S96</f>
        <v>#DIV/0!</v>
      </c>
      <c r="T123" s="23">
        <f t="shared" si="5"/>
        <v>15</v>
      </c>
      <c r="U123" s="603" t="e">
        <f>$M123*U96</f>
        <v>#DIV/0!</v>
      </c>
      <c r="V123" s="23">
        <f t="shared" si="7"/>
        <v>15</v>
      </c>
      <c r="W123" s="603" t="e">
        <f>$M123*W96</f>
        <v>#DIV/0!</v>
      </c>
      <c r="X123" s="23">
        <f t="shared" si="9"/>
        <v>15</v>
      </c>
      <c r="Y123" s="1"/>
      <c r="Z123" s="1"/>
      <c r="AA123" s="1"/>
      <c r="AB123" s="1"/>
      <c r="AC123" s="1"/>
      <c r="AD123" s="1"/>
      <c r="AE123" s="1"/>
      <c r="AF123" s="1"/>
      <c r="AG123" s="1"/>
      <c r="AH123" s="16">
        <f t="shared" si="10"/>
        <v>-333.33333333333331</v>
      </c>
      <c r="AI123" s="6"/>
      <c r="AJ123" s="6"/>
      <c r="AK123" s="16" t="e">
        <f t="shared" si="11"/>
        <v>#DIV/0!</v>
      </c>
      <c r="AL123" s="16"/>
      <c r="AM123" s="17" t="e">
        <f t="shared" si="12"/>
        <v>#DIV/0!</v>
      </c>
      <c r="AN123" s="17"/>
      <c r="AO123" s="18" t="e">
        <f t="shared" si="13"/>
        <v>#DIV/0!</v>
      </c>
      <c r="AP123" s="18"/>
      <c r="AQ123" s="19" t="e">
        <f t="shared" si="14"/>
        <v>#DIV/0!</v>
      </c>
      <c r="AR123" s="19"/>
      <c r="AS123" s="11" t="e">
        <f t="shared" si="15"/>
        <v>#DIV/0!</v>
      </c>
      <c r="AT123" s="11"/>
      <c r="AU123" s="1"/>
      <c r="AV123" s="1"/>
      <c r="AW123" s="1"/>
      <c r="AX123" s="1"/>
      <c r="AY123" s="1"/>
      <c r="AZ123" s="1"/>
    </row>
    <row r="124" spans="1:52" s="12" customFormat="1" ht="14.4" customHeight="1" thickBot="1" x14ac:dyDescent="0.35">
      <c r="A124" s="1"/>
      <c r="B124" s="1"/>
      <c r="C124" s="2"/>
      <c r="D124" s="3"/>
      <c r="E124" s="1"/>
      <c r="F124" s="1"/>
      <c r="G124" s="1"/>
      <c r="H124" s="1339" t="s">
        <v>132</v>
      </c>
      <c r="I124" s="1340"/>
      <c r="J124" s="1341"/>
      <c r="K124" s="604" t="e">
        <f>M124*K74</f>
        <v>#DIV/0!</v>
      </c>
      <c r="L124" s="4">
        <v>10</v>
      </c>
      <c r="M124" s="597">
        <v>185.86318</v>
      </c>
      <c r="N124" s="608" t="s">
        <v>89</v>
      </c>
      <c r="O124" s="604" t="e">
        <f>$M124*O96</f>
        <v>#DIV/0!</v>
      </c>
      <c r="P124" s="4">
        <f t="shared" si="1"/>
        <v>10</v>
      </c>
      <c r="Q124" s="604" t="e">
        <f>$M124*Q96</f>
        <v>#DIV/0!</v>
      </c>
      <c r="R124" s="4">
        <f t="shared" si="3"/>
        <v>10</v>
      </c>
      <c r="S124" s="604" t="e">
        <f>$M124*S96</f>
        <v>#DIV/0!</v>
      </c>
      <c r="T124" s="4">
        <f t="shared" si="5"/>
        <v>10</v>
      </c>
      <c r="U124" s="604" t="e">
        <f>$M124*U96</f>
        <v>#DIV/0!</v>
      </c>
      <c r="V124" s="4">
        <f t="shared" si="7"/>
        <v>10</v>
      </c>
      <c r="W124" s="604" t="e">
        <f>$M124*W96</f>
        <v>#DIV/0!</v>
      </c>
      <c r="X124" s="4">
        <f t="shared" si="9"/>
        <v>10</v>
      </c>
      <c r="Y124" s="1"/>
      <c r="Z124" s="1"/>
      <c r="AA124" s="1"/>
      <c r="AB124" s="1"/>
      <c r="AC124" s="1"/>
      <c r="AD124" s="1"/>
      <c r="AE124" s="1"/>
      <c r="AF124" s="1"/>
      <c r="AG124" s="1"/>
      <c r="AH124" s="16" t="e">
        <f t="shared" si="10"/>
        <v>#DIV/0!</v>
      </c>
      <c r="AI124" s="6"/>
      <c r="AJ124" s="6"/>
      <c r="AK124" s="16" t="e">
        <f t="shared" si="11"/>
        <v>#DIV/0!</v>
      </c>
      <c r="AL124" s="16"/>
      <c r="AM124" s="17" t="e">
        <f t="shared" si="12"/>
        <v>#DIV/0!</v>
      </c>
      <c r="AN124" s="17"/>
      <c r="AO124" s="18" t="e">
        <f t="shared" si="13"/>
        <v>#DIV/0!</v>
      </c>
      <c r="AP124" s="18"/>
      <c r="AQ124" s="19" t="e">
        <f t="shared" si="14"/>
        <v>#DIV/0!</v>
      </c>
      <c r="AR124" s="19"/>
      <c r="AS124" s="11" t="e">
        <f t="shared" si="15"/>
        <v>#DIV/0!</v>
      </c>
      <c r="AT124" s="11"/>
      <c r="AU124" s="1"/>
      <c r="AV124" s="1"/>
      <c r="AW124" s="1"/>
      <c r="AX124" s="1"/>
      <c r="AY124" s="1"/>
      <c r="AZ124" s="1"/>
    </row>
    <row r="125" spans="1:52" s="12" customFormat="1" ht="14.4" customHeight="1" x14ac:dyDescent="0.3">
      <c r="A125" s="1"/>
      <c r="B125" s="1"/>
      <c r="C125" s="2"/>
      <c r="D125" s="20"/>
      <c r="E125" s="1"/>
      <c r="F125" s="1"/>
      <c r="G125" s="1"/>
      <c r="H125" s="31" t="s">
        <v>25</v>
      </c>
      <c r="I125" s="32"/>
      <c r="J125" s="32"/>
      <c r="K125" s="602" t="e">
        <f>M125*K70</f>
        <v>#DIV/0!</v>
      </c>
      <c r="L125" s="15">
        <v>10</v>
      </c>
      <c r="M125" s="591">
        <v>2.2763399999999998</v>
      </c>
      <c r="N125" s="609" t="s">
        <v>90</v>
      </c>
      <c r="O125" s="602" t="e">
        <f>$M125*(O100+O101)</f>
        <v>#DIV/0!</v>
      </c>
      <c r="P125" s="15">
        <f t="shared" si="1"/>
        <v>10</v>
      </c>
      <c r="Q125" s="602" t="e">
        <f>$M125*(Q100+Q101)</f>
        <v>#DIV/0!</v>
      </c>
      <c r="R125" s="15">
        <f t="shared" si="3"/>
        <v>10</v>
      </c>
      <c r="S125" s="602" t="e">
        <f>$M125*(S100+S101)</f>
        <v>#DIV/0!</v>
      </c>
      <c r="T125" s="15">
        <f t="shared" si="5"/>
        <v>10</v>
      </c>
      <c r="U125" s="602" t="e">
        <f>$M125*(U100+U101)</f>
        <v>#DIV/0!</v>
      </c>
      <c r="V125" s="15">
        <f t="shared" si="7"/>
        <v>10</v>
      </c>
      <c r="W125" s="602" t="e">
        <f>$M125*(W100+W101)</f>
        <v>#DIV/0!</v>
      </c>
      <c r="X125" s="15">
        <f t="shared" si="9"/>
        <v>10</v>
      </c>
      <c r="Y125" s="1"/>
      <c r="Z125" s="1"/>
      <c r="AA125" s="1"/>
      <c r="AB125" s="1"/>
      <c r="AC125" s="1"/>
      <c r="AD125" s="1"/>
      <c r="AE125" s="1"/>
      <c r="AF125" s="1"/>
      <c r="AG125" s="1"/>
      <c r="AH125" s="16" t="e">
        <f t="shared" si="10"/>
        <v>#DIV/0!</v>
      </c>
      <c r="AI125" s="6"/>
      <c r="AJ125" s="6"/>
      <c r="AK125" s="16" t="e">
        <f t="shared" si="11"/>
        <v>#DIV/0!</v>
      </c>
      <c r="AL125" s="16"/>
      <c r="AM125" s="17" t="e">
        <f t="shared" si="12"/>
        <v>#DIV/0!</v>
      </c>
      <c r="AN125" s="17"/>
      <c r="AO125" s="18" t="e">
        <f t="shared" si="13"/>
        <v>#DIV/0!</v>
      </c>
      <c r="AP125" s="18"/>
      <c r="AQ125" s="19" t="e">
        <f t="shared" si="14"/>
        <v>#DIV/0!</v>
      </c>
      <c r="AR125" s="19"/>
      <c r="AS125" s="11" t="e">
        <f t="shared" si="15"/>
        <v>#DIV/0!</v>
      </c>
      <c r="AT125" s="11"/>
      <c r="AU125" s="1"/>
      <c r="AV125" s="1"/>
      <c r="AW125" s="1"/>
      <c r="AX125" s="1"/>
      <c r="AY125" s="1"/>
      <c r="AZ125" s="1"/>
    </row>
    <row r="126" spans="1:52" s="12" customFormat="1" ht="14.4" customHeight="1" x14ac:dyDescent="0.3">
      <c r="A126" s="1"/>
      <c r="B126" s="1"/>
      <c r="C126" s="2"/>
      <c r="D126" s="20"/>
      <c r="E126" s="1"/>
      <c r="F126" s="1"/>
      <c r="G126" s="1"/>
      <c r="H126" s="31" t="s">
        <v>274</v>
      </c>
      <c r="I126" s="32"/>
      <c r="J126" s="32"/>
      <c r="K126" s="603" t="e">
        <f>5380/1184*K95</f>
        <v>#DIV/0!</v>
      </c>
      <c r="L126" s="23">
        <v>10</v>
      </c>
      <c r="M126" s="594">
        <v>4.54392</v>
      </c>
      <c r="N126" s="607" t="s">
        <v>89</v>
      </c>
      <c r="O126" s="603" t="e">
        <f>$M126*O95</f>
        <v>#DIV/0!</v>
      </c>
      <c r="P126" s="23">
        <f t="shared" si="1"/>
        <v>10</v>
      </c>
      <c r="Q126" s="603" t="e">
        <f>111.27*Q95</f>
        <v>#DIV/0!</v>
      </c>
      <c r="R126" s="23">
        <f t="shared" si="3"/>
        <v>10</v>
      </c>
      <c r="S126" s="603" t="e">
        <f>111.27*S95</f>
        <v>#DIV/0!</v>
      </c>
      <c r="T126" s="23">
        <f t="shared" si="5"/>
        <v>10</v>
      </c>
      <c r="U126" s="603" t="e">
        <f>(35.35+29.26)*U95</f>
        <v>#DIV/0!</v>
      </c>
      <c r="V126" s="23">
        <f t="shared" si="7"/>
        <v>10</v>
      </c>
      <c r="W126" s="603" t="e">
        <f>230*W95</f>
        <v>#DIV/0!</v>
      </c>
      <c r="X126" s="23">
        <f t="shared" si="9"/>
        <v>10</v>
      </c>
      <c r="Y126" s="1"/>
      <c r="Z126" s="1"/>
      <c r="AA126" s="1"/>
      <c r="AB126" s="1"/>
      <c r="AC126" s="1"/>
      <c r="AD126" s="1"/>
      <c r="AE126" s="1"/>
      <c r="AF126" s="1"/>
      <c r="AG126" s="1"/>
      <c r="AH126" s="16" t="e">
        <f t="shared" si="10"/>
        <v>#DIV/0!</v>
      </c>
      <c r="AI126" s="6"/>
      <c r="AJ126" s="6"/>
      <c r="AK126" s="16" t="e">
        <f t="shared" si="11"/>
        <v>#DIV/0!</v>
      </c>
      <c r="AL126" s="16"/>
      <c r="AM126" s="17" t="e">
        <f t="shared" si="12"/>
        <v>#DIV/0!</v>
      </c>
      <c r="AN126" s="17"/>
      <c r="AO126" s="18" t="e">
        <f t="shared" si="13"/>
        <v>#DIV/0!</v>
      </c>
      <c r="AP126" s="18"/>
      <c r="AQ126" s="19" t="e">
        <f t="shared" si="14"/>
        <v>#DIV/0!</v>
      </c>
      <c r="AR126" s="19"/>
      <c r="AS126" s="11" t="e">
        <f t="shared" si="15"/>
        <v>#DIV/0!</v>
      </c>
      <c r="AT126" s="11"/>
      <c r="AU126" s="1"/>
      <c r="AV126" s="1"/>
      <c r="AW126" s="1"/>
      <c r="AX126" s="1"/>
      <c r="AY126" s="1"/>
      <c r="AZ126" s="1"/>
    </row>
    <row r="127" spans="1:52" s="12" customFormat="1" ht="14.4" customHeight="1" thickBot="1" x14ac:dyDescent="0.35">
      <c r="A127" s="1"/>
      <c r="B127" s="1"/>
      <c r="C127" s="2"/>
      <c r="D127" s="20"/>
      <c r="E127" s="1"/>
      <c r="F127" s="1"/>
      <c r="G127" s="1"/>
      <c r="H127" s="34" t="s">
        <v>275</v>
      </c>
      <c r="I127" s="35"/>
      <c r="J127" s="35"/>
      <c r="K127" s="604" t="e">
        <f>5380/1184*K96</f>
        <v>#DIV/0!</v>
      </c>
      <c r="L127" s="4">
        <v>10</v>
      </c>
      <c r="M127" s="598">
        <v>4.54392</v>
      </c>
      <c r="N127" s="608" t="s">
        <v>89</v>
      </c>
      <c r="O127" s="604" t="e">
        <f>$M127*O96</f>
        <v>#DIV/0!</v>
      </c>
      <c r="P127" s="4">
        <f t="shared" si="1"/>
        <v>10</v>
      </c>
      <c r="Q127" s="604" t="e">
        <f>$M127*Q96</f>
        <v>#DIV/0!</v>
      </c>
      <c r="R127" s="4">
        <f t="shared" si="3"/>
        <v>10</v>
      </c>
      <c r="S127" s="604" t="e">
        <f>$M127*S96</f>
        <v>#DIV/0!</v>
      </c>
      <c r="T127" s="4">
        <f t="shared" si="5"/>
        <v>10</v>
      </c>
      <c r="U127" s="604" t="e">
        <f>$M127*U96</f>
        <v>#DIV/0!</v>
      </c>
      <c r="V127" s="4">
        <f t="shared" si="7"/>
        <v>10</v>
      </c>
      <c r="W127" s="604" t="e">
        <f>$M127*W96</f>
        <v>#DIV/0!</v>
      </c>
      <c r="X127" s="4">
        <f t="shared" si="9"/>
        <v>10</v>
      </c>
      <c r="Y127" s="1"/>
      <c r="Z127" s="1"/>
      <c r="AA127" s="1"/>
      <c r="AB127" s="1"/>
      <c r="AC127" s="1"/>
      <c r="AD127" s="1"/>
      <c r="AE127" s="1"/>
      <c r="AF127" s="1"/>
      <c r="AG127" s="1"/>
      <c r="AH127" s="16" t="e">
        <f t="shared" si="10"/>
        <v>#DIV/0!</v>
      </c>
      <c r="AI127" s="6"/>
      <c r="AJ127" s="6"/>
      <c r="AK127" s="16" t="e">
        <f t="shared" si="11"/>
        <v>#DIV/0!</v>
      </c>
      <c r="AL127" s="16"/>
      <c r="AM127" s="17" t="e">
        <f t="shared" si="12"/>
        <v>#DIV/0!</v>
      </c>
      <c r="AN127" s="17"/>
      <c r="AO127" s="18" t="e">
        <f t="shared" si="13"/>
        <v>#DIV/0!</v>
      </c>
      <c r="AP127" s="18"/>
      <c r="AQ127" s="19" t="e">
        <f t="shared" si="14"/>
        <v>#DIV/0!</v>
      </c>
      <c r="AR127" s="19"/>
      <c r="AS127" s="11" t="e">
        <f t="shared" si="15"/>
        <v>#DIV/0!</v>
      </c>
      <c r="AT127" s="11"/>
      <c r="AU127" s="1"/>
      <c r="AV127" s="1"/>
      <c r="AW127" s="1"/>
      <c r="AX127" s="1"/>
      <c r="AY127" s="1"/>
      <c r="AZ127" s="1"/>
    </row>
    <row r="128" spans="1:52" s="12" customFormat="1" ht="14.4" customHeight="1" thickBot="1" x14ac:dyDescent="0.35">
      <c r="A128" s="1"/>
      <c r="B128" s="1"/>
      <c r="C128" s="2"/>
      <c r="D128" s="20"/>
      <c r="E128" s="1"/>
      <c r="F128" s="1"/>
      <c r="G128" s="1"/>
      <c r="H128" s="28" t="s">
        <v>276</v>
      </c>
      <c r="I128" s="29"/>
      <c r="J128" s="29"/>
      <c r="K128" s="602" t="e">
        <f>5380/1184*K97</f>
        <v>#DIV/0!</v>
      </c>
      <c r="L128" s="15">
        <v>10</v>
      </c>
      <c r="M128" s="593">
        <v>4.54392</v>
      </c>
      <c r="N128" s="609" t="s">
        <v>89</v>
      </c>
      <c r="O128" s="602" t="e">
        <f>$M128*O97</f>
        <v>#DIV/0!</v>
      </c>
      <c r="P128" s="15">
        <f t="shared" si="1"/>
        <v>10</v>
      </c>
      <c r="Q128" s="602" t="e">
        <f>$M128*Q97</f>
        <v>#DIV/0!</v>
      </c>
      <c r="R128" s="15">
        <f t="shared" si="3"/>
        <v>10</v>
      </c>
      <c r="S128" s="602" t="e">
        <f>$M128*S97</f>
        <v>#DIV/0!</v>
      </c>
      <c r="T128" s="15">
        <f t="shared" si="5"/>
        <v>10</v>
      </c>
      <c r="U128" s="602" t="e">
        <f>$M128*U97</f>
        <v>#DIV/0!</v>
      </c>
      <c r="V128" s="15">
        <f t="shared" si="7"/>
        <v>10</v>
      </c>
      <c r="W128" s="602" t="e">
        <f>$M128*W97</f>
        <v>#DIV/0!</v>
      </c>
      <c r="X128" s="15">
        <f t="shared" si="9"/>
        <v>10</v>
      </c>
      <c r="Y128" s="1"/>
      <c r="Z128" s="1"/>
      <c r="AA128" s="1"/>
      <c r="AB128" s="1"/>
      <c r="AC128" s="1"/>
      <c r="AD128" s="1"/>
      <c r="AE128" s="1"/>
      <c r="AF128" s="1"/>
      <c r="AG128" s="1"/>
      <c r="AH128" s="16" t="e">
        <f t="shared" si="10"/>
        <v>#DIV/0!</v>
      </c>
      <c r="AI128" s="6"/>
      <c r="AJ128" s="6"/>
      <c r="AK128" s="16" t="e">
        <f t="shared" si="11"/>
        <v>#DIV/0!</v>
      </c>
      <c r="AL128" s="16"/>
      <c r="AM128" s="17" t="e">
        <f t="shared" si="12"/>
        <v>#DIV/0!</v>
      </c>
      <c r="AN128" s="17"/>
      <c r="AO128" s="18" t="e">
        <f t="shared" si="13"/>
        <v>#DIV/0!</v>
      </c>
      <c r="AP128" s="18"/>
      <c r="AQ128" s="19" t="e">
        <f t="shared" si="14"/>
        <v>#DIV/0!</v>
      </c>
      <c r="AR128" s="19"/>
      <c r="AS128" s="11" t="e">
        <f t="shared" si="15"/>
        <v>#DIV/0!</v>
      </c>
      <c r="AT128" s="11"/>
      <c r="AU128" s="1"/>
      <c r="AV128" s="1"/>
      <c r="AW128" s="1"/>
      <c r="AX128" s="1"/>
      <c r="AY128" s="1"/>
      <c r="AZ128" s="1"/>
    </row>
    <row r="129" spans="1:52" s="12" customFormat="1" ht="14.4" customHeight="1" thickBot="1" x14ac:dyDescent="0.35">
      <c r="A129" s="1"/>
      <c r="B129" s="1"/>
      <c r="C129" s="2"/>
      <c r="D129" s="3"/>
      <c r="E129" s="1"/>
      <c r="F129" s="1"/>
      <c r="G129" s="1"/>
      <c r="H129" s="1343" t="s">
        <v>93</v>
      </c>
      <c r="I129" s="1344"/>
      <c r="J129" s="1344"/>
      <c r="K129" s="603">
        <v>2819</v>
      </c>
      <c r="L129" s="23">
        <v>10</v>
      </c>
      <c r="M129" s="599"/>
      <c r="N129" s="607"/>
      <c r="O129" s="603" t="e">
        <f>IF(O101&gt;1,$K129,0)</f>
        <v>#DIV/0!</v>
      </c>
      <c r="P129" s="23">
        <f t="shared" si="1"/>
        <v>10</v>
      </c>
      <c r="Q129" s="603" t="e">
        <f>IF(Q101&gt;1,$K129,0)</f>
        <v>#DIV/0!</v>
      </c>
      <c r="R129" s="23">
        <f t="shared" si="3"/>
        <v>10</v>
      </c>
      <c r="S129" s="603" t="e">
        <f>IF(S101&gt;1,$K129,0)</f>
        <v>#DIV/0!</v>
      </c>
      <c r="T129" s="23">
        <f t="shared" si="5"/>
        <v>10</v>
      </c>
      <c r="U129" s="603" t="e">
        <f>IF(U101&gt;1,$K129,0)</f>
        <v>#DIV/0!</v>
      </c>
      <c r="V129" s="23">
        <f t="shared" si="7"/>
        <v>10</v>
      </c>
      <c r="W129" s="603" t="e">
        <f>IF(W101&gt;1,$K129,0)</f>
        <v>#DIV/0!</v>
      </c>
      <c r="X129" s="23">
        <f t="shared" si="9"/>
        <v>10</v>
      </c>
      <c r="Y129" s="1"/>
      <c r="Z129" s="1"/>
      <c r="AA129" s="1"/>
      <c r="AB129" s="1"/>
      <c r="AC129" s="1"/>
      <c r="AD129" s="1"/>
      <c r="AE129" s="1"/>
      <c r="AF129" s="1"/>
      <c r="AG129" s="1"/>
      <c r="AH129" s="16">
        <f t="shared" si="10"/>
        <v>-281.89999999999998</v>
      </c>
      <c r="AI129" s="6"/>
      <c r="AJ129" s="6"/>
      <c r="AK129" s="16" t="e">
        <f t="shared" si="11"/>
        <v>#DIV/0!</v>
      </c>
      <c r="AL129" s="16"/>
      <c r="AM129" s="17" t="e">
        <f t="shared" si="12"/>
        <v>#DIV/0!</v>
      </c>
      <c r="AN129" s="17"/>
      <c r="AO129" s="18" t="e">
        <f t="shared" si="13"/>
        <v>#DIV/0!</v>
      </c>
      <c r="AP129" s="18"/>
      <c r="AQ129" s="19" t="e">
        <f t="shared" si="14"/>
        <v>#DIV/0!</v>
      </c>
      <c r="AR129" s="19"/>
      <c r="AS129" s="11" t="e">
        <f t="shared" si="15"/>
        <v>#DIV/0!</v>
      </c>
      <c r="AT129" s="11"/>
      <c r="AU129" s="1"/>
      <c r="AV129" s="1"/>
      <c r="AW129" s="1"/>
      <c r="AX129" s="1"/>
      <c r="AY129" s="1"/>
      <c r="AZ129" s="1"/>
    </row>
    <row r="130" spans="1:52" s="12" customFormat="1" ht="14.4" customHeight="1" thickBot="1" x14ac:dyDescent="0.35">
      <c r="A130" s="1"/>
      <c r="B130" s="1"/>
      <c r="C130" s="2"/>
      <c r="D130" s="3"/>
      <c r="E130" s="1"/>
      <c r="F130" s="1"/>
      <c r="G130" s="1"/>
      <c r="H130" s="1343" t="s">
        <v>92</v>
      </c>
      <c r="I130" s="1344"/>
      <c r="J130" s="1344"/>
      <c r="K130" s="604">
        <f>O130/P130*L130</f>
        <v>0</v>
      </c>
      <c r="L130" s="4">
        <v>5</v>
      </c>
      <c r="M130" s="600"/>
      <c r="N130" s="608"/>
      <c r="O130" s="604">
        <v>0</v>
      </c>
      <c r="P130" s="4">
        <f t="shared" si="1"/>
        <v>5</v>
      </c>
      <c r="Q130" s="604">
        <v>0</v>
      </c>
      <c r="R130" s="4">
        <f t="shared" si="3"/>
        <v>5</v>
      </c>
      <c r="S130" s="604">
        <v>0</v>
      </c>
      <c r="T130" s="4">
        <f t="shared" si="5"/>
        <v>5</v>
      </c>
      <c r="U130" s="604">
        <v>0</v>
      </c>
      <c r="V130" s="4">
        <f t="shared" si="7"/>
        <v>5</v>
      </c>
      <c r="W130" s="604">
        <v>0</v>
      </c>
      <c r="X130" s="4">
        <f t="shared" si="9"/>
        <v>5</v>
      </c>
      <c r="Y130" s="1"/>
      <c r="Z130" s="1"/>
      <c r="AA130" s="1"/>
      <c r="AB130" s="1"/>
      <c r="AC130" s="1"/>
      <c r="AD130" s="1"/>
      <c r="AE130" s="1"/>
      <c r="AF130" s="1"/>
      <c r="AG130" s="1"/>
      <c r="AH130" s="16">
        <f t="shared" si="10"/>
        <v>0</v>
      </c>
      <c r="AI130" s="6"/>
      <c r="AJ130" s="6"/>
      <c r="AK130" s="16">
        <f t="shared" si="11"/>
        <v>0</v>
      </c>
      <c r="AL130" s="16"/>
      <c r="AM130" s="17">
        <f t="shared" si="12"/>
        <v>0</v>
      </c>
      <c r="AN130" s="17"/>
      <c r="AO130" s="18">
        <f t="shared" si="13"/>
        <v>0</v>
      </c>
      <c r="AP130" s="18"/>
      <c r="AQ130" s="19">
        <f t="shared" si="14"/>
        <v>0</v>
      </c>
      <c r="AR130" s="19"/>
      <c r="AS130" s="11">
        <f t="shared" si="15"/>
        <v>0</v>
      </c>
      <c r="AT130" s="11"/>
      <c r="AU130" s="1"/>
      <c r="AV130" s="1"/>
      <c r="AW130" s="1"/>
      <c r="AX130" s="1"/>
      <c r="AY130" s="1"/>
      <c r="AZ130" s="1"/>
    </row>
    <row r="131" spans="1:52" s="12" customFormat="1" ht="14.4" customHeight="1" thickBot="1" x14ac:dyDescent="0.35">
      <c r="A131" s="1"/>
      <c r="B131" s="1"/>
      <c r="C131" s="2"/>
      <c r="D131" s="3"/>
      <c r="E131" s="1"/>
      <c r="F131" s="1"/>
      <c r="G131" s="1"/>
      <c r="H131" s="14" t="s">
        <v>14</v>
      </c>
      <c r="I131" s="13"/>
      <c r="J131" s="13"/>
      <c r="K131" s="602" t="e">
        <f>M131*K70</f>
        <v>#DIV/0!</v>
      </c>
      <c r="L131" s="15">
        <v>10</v>
      </c>
      <c r="M131" s="593">
        <v>0.10511</v>
      </c>
      <c r="N131" s="609" t="s">
        <v>90</v>
      </c>
      <c r="O131" s="602" t="e">
        <f>$M131*(O100+O101)</f>
        <v>#DIV/0!</v>
      </c>
      <c r="P131" s="15">
        <f t="shared" si="1"/>
        <v>10</v>
      </c>
      <c r="Q131" s="602" t="e">
        <f>$M131*(Q100+Q101)</f>
        <v>#DIV/0!</v>
      </c>
      <c r="R131" s="15">
        <f t="shared" si="3"/>
        <v>10</v>
      </c>
      <c r="S131" s="602" t="e">
        <f>$M131*(S100+S101)</f>
        <v>#DIV/0!</v>
      </c>
      <c r="T131" s="15">
        <f t="shared" si="5"/>
        <v>10</v>
      </c>
      <c r="U131" s="602" t="e">
        <f>$M131*(U100+U101)</f>
        <v>#DIV/0!</v>
      </c>
      <c r="V131" s="15">
        <f t="shared" si="7"/>
        <v>10</v>
      </c>
      <c r="W131" s="602" t="e">
        <f>$M131*(W100+W101)</f>
        <v>#DIV/0!</v>
      </c>
      <c r="X131" s="15">
        <f t="shared" si="9"/>
        <v>10</v>
      </c>
      <c r="Y131" s="1"/>
      <c r="Z131" s="1"/>
      <c r="AA131" s="1"/>
      <c r="AB131" s="1"/>
      <c r="AC131" s="1"/>
      <c r="AD131" s="1"/>
      <c r="AE131" s="1"/>
      <c r="AF131" s="1"/>
      <c r="AG131" s="1"/>
      <c r="AH131" s="16" t="e">
        <f t="shared" si="10"/>
        <v>#DIV/0!</v>
      </c>
      <c r="AI131" s="6"/>
      <c r="AJ131" s="6"/>
      <c r="AK131" s="16" t="e">
        <f t="shared" si="11"/>
        <v>#DIV/0!</v>
      </c>
      <c r="AL131" s="16"/>
      <c r="AM131" s="17" t="e">
        <f t="shared" si="12"/>
        <v>#DIV/0!</v>
      </c>
      <c r="AN131" s="17"/>
      <c r="AO131" s="18" t="e">
        <f t="shared" si="13"/>
        <v>#DIV/0!</v>
      </c>
      <c r="AP131" s="18"/>
      <c r="AQ131" s="19" t="e">
        <f t="shared" si="14"/>
        <v>#DIV/0!</v>
      </c>
      <c r="AR131" s="19"/>
      <c r="AS131" s="11" t="e">
        <f t="shared" si="15"/>
        <v>#DIV/0!</v>
      </c>
      <c r="AT131" s="11"/>
      <c r="AU131" s="1"/>
      <c r="AV131" s="1"/>
      <c r="AW131" s="1"/>
      <c r="AX131" s="1"/>
      <c r="AY131" s="1"/>
      <c r="AZ131" s="1"/>
    </row>
    <row r="132" spans="1:52" s="12" customFormat="1" ht="14.4" customHeight="1" thickBot="1" x14ac:dyDescent="0.35">
      <c r="A132" s="1"/>
      <c r="B132" s="1"/>
      <c r="C132" s="2"/>
      <c r="D132" s="3"/>
      <c r="E132" s="1"/>
      <c r="F132" s="1"/>
      <c r="G132" s="1"/>
      <c r="H132" s="1343" t="s">
        <v>15</v>
      </c>
      <c r="I132" s="1344"/>
      <c r="J132" s="1344"/>
      <c r="K132" s="604" t="e">
        <f>M132*K98</f>
        <v>#DIV/0!</v>
      </c>
      <c r="L132" s="4">
        <v>10</v>
      </c>
      <c r="M132" s="601">
        <v>0.5</v>
      </c>
      <c r="N132" s="606" t="s">
        <v>89</v>
      </c>
      <c r="O132" s="604" t="e">
        <f>$M132*O98</f>
        <v>#DIV/0!</v>
      </c>
      <c r="P132" s="4">
        <f t="shared" si="1"/>
        <v>10</v>
      </c>
      <c r="Q132" s="604" t="e">
        <f>$M132*Q98</f>
        <v>#DIV/0!</v>
      </c>
      <c r="R132" s="4">
        <f t="shared" si="3"/>
        <v>10</v>
      </c>
      <c r="S132" s="604" t="e">
        <f>$M132*S98</f>
        <v>#DIV/0!</v>
      </c>
      <c r="T132" s="4">
        <f t="shared" si="5"/>
        <v>10</v>
      </c>
      <c r="U132" s="604" t="e">
        <f>$M132*U98*3</f>
        <v>#DIV/0!</v>
      </c>
      <c r="V132" s="4">
        <f t="shared" si="7"/>
        <v>10</v>
      </c>
      <c r="W132" s="604" t="e">
        <f>$M132*W98*2</f>
        <v>#DIV/0!</v>
      </c>
      <c r="X132" s="4">
        <f t="shared" si="9"/>
        <v>10</v>
      </c>
      <c r="Y132" s="1"/>
      <c r="Z132" s="1"/>
      <c r="AA132" s="1"/>
      <c r="AB132" s="1"/>
      <c r="AC132" s="1"/>
      <c r="AD132" s="1"/>
      <c r="AE132" s="1"/>
      <c r="AF132" s="1"/>
      <c r="AG132" s="1"/>
      <c r="AH132" s="5" t="e">
        <f t="shared" si="10"/>
        <v>#DIV/0!</v>
      </c>
      <c r="AI132" s="6"/>
      <c r="AJ132" s="6"/>
      <c r="AK132" s="5" t="e">
        <f t="shared" si="11"/>
        <v>#DIV/0!</v>
      </c>
      <c r="AL132" s="5"/>
      <c r="AM132" s="7" t="e">
        <f t="shared" si="12"/>
        <v>#DIV/0!</v>
      </c>
      <c r="AN132" s="7"/>
      <c r="AO132" s="8" t="e">
        <f t="shared" si="13"/>
        <v>#DIV/0!</v>
      </c>
      <c r="AP132" s="8"/>
      <c r="AQ132" s="9" t="e">
        <f t="shared" si="14"/>
        <v>#DIV/0!</v>
      </c>
      <c r="AR132" s="9"/>
      <c r="AS132" s="10" t="e">
        <f t="shared" si="15"/>
        <v>#DIV/0!</v>
      </c>
      <c r="AT132" s="11"/>
      <c r="AU132" s="1"/>
      <c r="AV132" s="1"/>
      <c r="AW132" s="1"/>
      <c r="AX132" s="1"/>
      <c r="AY132" s="1"/>
      <c r="AZ132" s="1"/>
    </row>
    <row r="133" spans="1:52" s="12" customFormat="1" ht="14.4" customHeight="1" x14ac:dyDescent="0.3">
      <c r="A133" s="1"/>
      <c r="B133" s="213"/>
      <c r="C133" s="213"/>
      <c r="D133" s="3"/>
      <c r="E133" s="1"/>
      <c r="F133" s="1"/>
      <c r="G133" s="223"/>
      <c r="H133" s="223"/>
      <c r="I133" s="223"/>
      <c r="J133" s="321" t="s">
        <v>282</v>
      </c>
      <c r="K133" s="322" t="e">
        <f>SUM(K107:K132)</f>
        <v>#DIV/0!</v>
      </c>
      <c r="L133" s="383"/>
      <c r="M133" s="252"/>
      <c r="N133" s="323"/>
      <c r="O133" s="576" t="e">
        <f>SUM(O107:O132)</f>
        <v>#DIV/0!</v>
      </c>
      <c r="P133" s="577"/>
      <c r="Q133" s="578" t="e">
        <f>SUM(Q107:Q132)</f>
        <v>#DIV/0!</v>
      </c>
      <c r="R133" s="579"/>
      <c r="S133" s="581" t="e">
        <f>SUM(S107:S132)</f>
        <v>#DIV/0!</v>
      </c>
      <c r="T133" s="582"/>
      <c r="U133" s="584" t="e">
        <f>SUM(U107:U132)</f>
        <v>#DIV/0!</v>
      </c>
      <c r="V133" s="585"/>
      <c r="W133" s="587" t="e">
        <f>SUM(W107:W132)</f>
        <v>#DIV/0!</v>
      </c>
      <c r="X133" s="324"/>
      <c r="Y133" s="1"/>
      <c r="Z133" s="1"/>
      <c r="AA133" s="1"/>
      <c r="AB133" s="1"/>
      <c r="AC133" s="1"/>
      <c r="AD133" s="1"/>
      <c r="AE133" s="1"/>
      <c r="AF133" s="1"/>
      <c r="AG133" s="1"/>
      <c r="AH133" s="16" t="e">
        <f>SUM(AH107:AH132)</f>
        <v>#DIV/0!</v>
      </c>
      <c r="AI133" s="6"/>
      <c r="AJ133" s="6"/>
      <c r="AK133" s="16" t="e">
        <f>SUM(AK107:AK132)</f>
        <v>#DIV/0!</v>
      </c>
      <c r="AL133" s="16"/>
      <c r="AM133" s="17" t="e">
        <f>SUM(AM107:AM132)</f>
        <v>#DIV/0!</v>
      </c>
      <c r="AN133" s="17"/>
      <c r="AO133" s="18" t="e">
        <f>SUM(AO107:AO132)</f>
        <v>#DIV/0!</v>
      </c>
      <c r="AP133" s="18"/>
      <c r="AQ133" s="19" t="e">
        <f>SUM(AQ107:AQ132)</f>
        <v>#DIV/0!</v>
      </c>
      <c r="AR133" s="19"/>
      <c r="AS133" s="11" t="e">
        <f>SUM(AS107:AS132)</f>
        <v>#DIV/0!</v>
      </c>
      <c r="AT133" s="11"/>
      <c r="AU133" s="1"/>
      <c r="AV133" s="1"/>
      <c r="AW133" s="1"/>
      <c r="AX133" s="1"/>
      <c r="AY133" s="1"/>
      <c r="AZ133" s="1"/>
    </row>
    <row r="134" spans="1:52" s="12" customFormat="1" ht="14.4" customHeight="1" thickBot="1" x14ac:dyDescent="0.35">
      <c r="A134" s="1"/>
      <c r="B134" s="1"/>
      <c r="C134" s="1"/>
      <c r="D134" s="3"/>
      <c r="E134" s="1"/>
      <c r="F134" s="223"/>
      <c r="G134" s="223"/>
      <c r="H134" s="223"/>
      <c r="I134" s="223"/>
      <c r="J134" s="321" t="s">
        <v>266</v>
      </c>
      <c r="K134" s="325" t="e">
        <f>K133/K74</f>
        <v>#DIV/0!</v>
      </c>
      <c r="L134" s="552" t="s">
        <v>114</v>
      </c>
      <c r="M134" s="260"/>
      <c r="N134" s="260"/>
      <c r="O134" s="558" t="e">
        <f>O133/AK98</f>
        <v>#DIV/0!</v>
      </c>
      <c r="P134" s="393" t="s">
        <v>114</v>
      </c>
      <c r="Q134" s="562" t="e">
        <f>Q133/AM98</f>
        <v>#DIV/0!</v>
      </c>
      <c r="R134" s="580" t="s">
        <v>114</v>
      </c>
      <c r="S134" s="566" t="e">
        <f>S133/AO98</f>
        <v>#DIV/0!</v>
      </c>
      <c r="T134" s="583" t="s">
        <v>114</v>
      </c>
      <c r="U134" s="570" t="e">
        <f>U133/AQ98</f>
        <v>#DIV/0!</v>
      </c>
      <c r="V134" s="586" t="s">
        <v>114</v>
      </c>
      <c r="W134" s="574" t="e">
        <f>W133/AS98</f>
        <v>#DIV/0!</v>
      </c>
      <c r="X134" s="326" t="s">
        <v>114</v>
      </c>
      <c r="Y134" s="40"/>
      <c r="Z134" s="40"/>
      <c r="AA134" s="1"/>
      <c r="AB134" s="1"/>
      <c r="AC134" s="1"/>
      <c r="AD134" s="1"/>
      <c r="AE134" s="1"/>
      <c r="AF134" s="1"/>
      <c r="AG134" s="1"/>
      <c r="AH134" s="212"/>
      <c r="AI134" s="6"/>
      <c r="AJ134" s="6"/>
      <c r="AK134" s="16"/>
      <c r="AL134" s="16"/>
      <c r="AM134" s="17"/>
      <c r="AN134" s="17"/>
      <c r="AO134" s="18"/>
      <c r="AP134" s="18"/>
      <c r="AQ134" s="19"/>
      <c r="AR134" s="19"/>
      <c r="AS134" s="11"/>
      <c r="AT134" s="11"/>
      <c r="AU134" s="1"/>
      <c r="AV134" s="1"/>
      <c r="AW134" s="1"/>
      <c r="AX134" s="1"/>
      <c r="AY134" s="1"/>
      <c r="AZ134" s="1"/>
    </row>
    <row r="135" spans="1:52" s="12" customFormat="1" ht="14.4" customHeight="1" thickBot="1" x14ac:dyDescent="0.35">
      <c r="A135" s="1"/>
      <c r="B135" s="1"/>
      <c r="C135" s="1"/>
      <c r="D135" s="3"/>
      <c r="G135" s="1"/>
      <c r="H135" s="1"/>
      <c r="I135" s="1"/>
      <c r="J135" s="1"/>
      <c r="Y135" s="1"/>
      <c r="Z135" s="1"/>
      <c r="AA135" s="1"/>
      <c r="AB135" s="1"/>
      <c r="AC135" s="1"/>
      <c r="AD135" s="1"/>
      <c r="AE135" s="1"/>
      <c r="AF135" s="1"/>
      <c r="AG135" s="1"/>
      <c r="AH135" s="212"/>
      <c r="AI135" s="6"/>
      <c r="AJ135" s="6"/>
      <c r="AK135" s="16"/>
      <c r="AL135" s="16"/>
      <c r="AM135" s="17"/>
      <c r="AN135" s="17"/>
      <c r="AO135" s="18"/>
      <c r="AP135" s="18"/>
      <c r="AQ135" s="19"/>
      <c r="AR135" s="19"/>
      <c r="AS135" s="11"/>
      <c r="AT135" s="11"/>
      <c r="AU135" s="1"/>
      <c r="AV135" s="1"/>
      <c r="AW135" s="1"/>
      <c r="AX135" s="1"/>
      <c r="AY135" s="1"/>
      <c r="AZ135" s="1"/>
    </row>
    <row r="136" spans="1:52" s="12" customFormat="1" ht="14.4" customHeight="1" x14ac:dyDescent="0.3">
      <c r="A136" s="1"/>
      <c r="B136" s="1"/>
      <c r="C136" s="1"/>
      <c r="D136" s="3"/>
      <c r="E136" s="1"/>
      <c r="F136" s="1"/>
      <c r="G136" s="1"/>
      <c r="H136" s="1"/>
      <c r="I136" s="38" t="s">
        <v>80</v>
      </c>
      <c r="J136" s="907">
        <v>300</v>
      </c>
      <c r="K136" s="322" t="e">
        <f>J136*K73</f>
        <v>#DIV/0!</v>
      </c>
      <c r="L136" s="557"/>
      <c r="M136" s="252"/>
      <c r="N136" s="252"/>
      <c r="O136" s="508" t="e">
        <f>$J136*AK98</f>
        <v>#DIV/0!</v>
      </c>
      <c r="P136" s="389"/>
      <c r="Q136" s="512" t="e">
        <f>$J136*AM98</f>
        <v>#DIV/0!</v>
      </c>
      <c r="R136" s="513"/>
      <c r="S136" s="518" t="e">
        <f>$J136*AO98</f>
        <v>#DIV/0!</v>
      </c>
      <c r="T136" s="421"/>
      <c r="U136" s="521" t="e">
        <f>$J136*AQ98</f>
        <v>#DIV/0!</v>
      </c>
      <c r="V136" s="522"/>
      <c r="W136" s="527" t="e">
        <f>$J136*AS98</f>
        <v>#DIV/0!</v>
      </c>
      <c r="X136" s="328"/>
      <c r="Y136" s="1"/>
      <c r="Z136" s="1"/>
      <c r="AA136" s="1"/>
      <c r="AB136" s="1"/>
      <c r="AC136" s="1"/>
      <c r="AD136" s="1"/>
      <c r="AE136" s="1"/>
      <c r="AF136" s="1"/>
      <c r="AG136" s="38" t="s">
        <v>52</v>
      </c>
      <c r="AH136" s="5" t="e">
        <f>PMT($I$42,100,K136,0,0)</f>
        <v>#DIV/0!</v>
      </c>
      <c r="AI136" s="6"/>
      <c r="AJ136" s="6"/>
      <c r="AK136" s="5" t="e">
        <f>PMT($I$42,100,O136,0,0)</f>
        <v>#DIV/0!</v>
      </c>
      <c r="AL136" s="5"/>
      <c r="AM136" s="7" t="e">
        <f>PMT($I$42,100,Q136,0,0)</f>
        <v>#DIV/0!</v>
      </c>
      <c r="AN136" s="7"/>
      <c r="AO136" s="8" t="e">
        <f>PMT($I$42,100,S136,0,0)</f>
        <v>#DIV/0!</v>
      </c>
      <c r="AP136" s="8"/>
      <c r="AQ136" s="9" t="e">
        <f>PMT($I$42,100,U136,0,0)</f>
        <v>#DIV/0!</v>
      </c>
      <c r="AR136" s="9"/>
      <c r="AS136" s="10" t="e">
        <f>PMT($I$42,100,W136,0,0)</f>
        <v>#DIV/0!</v>
      </c>
      <c r="AT136" s="10"/>
      <c r="AU136" s="1"/>
      <c r="AV136" s="1"/>
      <c r="AW136" s="1"/>
      <c r="AX136" s="1"/>
      <c r="AY136" s="1"/>
      <c r="AZ136" s="1"/>
    </row>
    <row r="137" spans="1:52" s="12" customFormat="1" ht="14.4" customHeight="1" x14ac:dyDescent="0.3">
      <c r="A137" s="1"/>
      <c r="B137" s="1"/>
      <c r="C137" s="1"/>
      <c r="D137" s="3"/>
      <c r="E137" s="1"/>
      <c r="F137" s="1"/>
      <c r="G137" s="1"/>
      <c r="H137" s="1"/>
      <c r="I137" s="1"/>
      <c r="J137" s="321" t="s">
        <v>281</v>
      </c>
      <c r="K137" s="329" t="e">
        <f>K133+K136</f>
        <v>#DIV/0!</v>
      </c>
      <c r="L137" s="551"/>
      <c r="M137" s="39"/>
      <c r="N137" s="39"/>
      <c r="O137" s="509" t="e">
        <f>O133+O136</f>
        <v>#DIV/0!</v>
      </c>
      <c r="P137" s="396"/>
      <c r="Q137" s="514" t="e">
        <f t="shared" ref="Q137:W137" si="16">Q133+Q136</f>
        <v>#DIV/0!</v>
      </c>
      <c r="R137" s="515"/>
      <c r="S137" s="519" t="e">
        <f t="shared" si="16"/>
        <v>#DIV/0!</v>
      </c>
      <c r="T137" s="418"/>
      <c r="U137" s="523" t="e">
        <f t="shared" si="16"/>
        <v>#DIV/0!</v>
      </c>
      <c r="V137" s="524"/>
      <c r="W137" s="528" t="e">
        <f t="shared" si="16"/>
        <v>#DIV/0!</v>
      </c>
      <c r="X137" s="330"/>
      <c r="Y137" s="1"/>
      <c r="Z137" s="1"/>
      <c r="AA137" s="1"/>
      <c r="AB137" s="1"/>
      <c r="AC137" s="1"/>
      <c r="AD137" s="1"/>
      <c r="AE137" s="1"/>
      <c r="AF137" s="1"/>
      <c r="AG137" s="38" t="s">
        <v>53</v>
      </c>
      <c r="AH137" s="16" t="e">
        <f>AH133+AH136</f>
        <v>#DIV/0!</v>
      </c>
      <c r="AI137" s="6"/>
      <c r="AJ137" s="6"/>
      <c r="AK137" s="16" t="e">
        <f>AK133+AK136</f>
        <v>#DIV/0!</v>
      </c>
      <c r="AL137" s="16"/>
      <c r="AM137" s="17" t="e">
        <f>AM133+AM136</f>
        <v>#DIV/0!</v>
      </c>
      <c r="AN137" s="17"/>
      <c r="AO137" s="18" t="e">
        <f>AO133+AO136</f>
        <v>#DIV/0!</v>
      </c>
      <c r="AP137" s="18"/>
      <c r="AQ137" s="19" t="e">
        <f>AQ133+AQ136</f>
        <v>#DIV/0!</v>
      </c>
      <c r="AR137" s="19"/>
      <c r="AS137" s="11" t="e">
        <f>AS133+AS136</f>
        <v>#DIV/0!</v>
      </c>
      <c r="AT137" s="11"/>
      <c r="AU137" s="1"/>
      <c r="AV137" s="1"/>
      <c r="AW137" s="1"/>
      <c r="AX137" s="1"/>
      <c r="AY137" s="1"/>
      <c r="AZ137" s="1"/>
    </row>
    <row r="138" spans="1:52" s="12" customFormat="1" ht="14.4" customHeight="1" thickBot="1" x14ac:dyDescent="0.35">
      <c r="A138" s="1"/>
      <c r="B138" s="1"/>
      <c r="C138" s="1"/>
      <c r="D138" s="3"/>
      <c r="E138" s="40"/>
      <c r="F138" s="1"/>
      <c r="G138" s="1"/>
      <c r="H138" s="1"/>
      <c r="I138" s="1"/>
      <c r="J138" s="38" t="s">
        <v>267</v>
      </c>
      <c r="K138" s="331" t="e">
        <f>K137/K74</f>
        <v>#DIV/0!</v>
      </c>
      <c r="L138" s="552" t="s">
        <v>114</v>
      </c>
      <c r="M138" s="260"/>
      <c r="N138" s="260"/>
      <c r="O138" s="558" t="e">
        <f>O137/AK98</f>
        <v>#DIV/0!</v>
      </c>
      <c r="P138" s="559" t="s">
        <v>114</v>
      </c>
      <c r="Q138" s="562" t="e">
        <f>Q137/AM98</f>
        <v>#DIV/0!</v>
      </c>
      <c r="R138" s="563" t="s">
        <v>114</v>
      </c>
      <c r="S138" s="566" t="e">
        <f>S137/AO98</f>
        <v>#DIV/0!</v>
      </c>
      <c r="T138" s="567" t="s">
        <v>114</v>
      </c>
      <c r="U138" s="570" t="e">
        <f>U137/AQ98</f>
        <v>#DIV/0!</v>
      </c>
      <c r="V138" s="571" t="s">
        <v>114</v>
      </c>
      <c r="W138" s="574" t="e">
        <f>W137/AS98</f>
        <v>#DIV/0!</v>
      </c>
      <c r="X138" s="332" t="s">
        <v>114</v>
      </c>
      <c r="Y138" s="1"/>
      <c r="Z138" s="1"/>
      <c r="AA138" s="1"/>
      <c r="AB138" s="1"/>
      <c r="AC138" s="1"/>
      <c r="AD138" s="1"/>
      <c r="AE138" s="1"/>
      <c r="AF138" s="1"/>
      <c r="AG138" s="1"/>
      <c r="AH138" s="1"/>
      <c r="AI138" s="6"/>
      <c r="AJ138" s="6"/>
      <c r="AK138" s="16"/>
      <c r="AL138" s="16"/>
      <c r="AM138" s="17"/>
      <c r="AN138" s="17"/>
      <c r="AO138" s="18"/>
      <c r="AP138" s="18"/>
      <c r="AQ138" s="19"/>
      <c r="AR138" s="19"/>
      <c r="AS138" s="11"/>
      <c r="AT138" s="11"/>
      <c r="AU138" s="1"/>
      <c r="AV138" s="1"/>
      <c r="AW138" s="1"/>
      <c r="AX138" s="1"/>
      <c r="AY138" s="1"/>
      <c r="AZ138" s="1"/>
    </row>
    <row r="139" spans="1:52" s="12" customFormat="1" ht="14.4" customHeight="1" thickBot="1" x14ac:dyDescent="0.35">
      <c r="A139" s="1"/>
      <c r="B139" s="1"/>
      <c r="C139" s="1"/>
      <c r="D139" s="3"/>
      <c r="E139" s="1"/>
      <c r="F139" s="223"/>
      <c r="G139" s="223"/>
      <c r="H139" s="223"/>
      <c r="I139" s="223"/>
      <c r="J139" s="321" t="s">
        <v>268</v>
      </c>
      <c r="K139" s="333" t="e">
        <f>K137/K61</f>
        <v>#DIV/0!</v>
      </c>
      <c r="L139" s="556" t="s">
        <v>114</v>
      </c>
      <c r="M139" s="334"/>
      <c r="N139" s="334"/>
      <c r="O139" s="560" t="e">
        <f>O137/O102</f>
        <v>#DIV/0!</v>
      </c>
      <c r="P139" s="561" t="s">
        <v>114</v>
      </c>
      <c r="Q139" s="564" t="e">
        <f>Q137/Q102</f>
        <v>#DIV/0!</v>
      </c>
      <c r="R139" s="565" t="s">
        <v>114</v>
      </c>
      <c r="S139" s="568" t="e">
        <f>S137/S102</f>
        <v>#DIV/0!</v>
      </c>
      <c r="T139" s="569" t="s">
        <v>114</v>
      </c>
      <c r="U139" s="572" t="e">
        <f>U137/U102</f>
        <v>#DIV/0!</v>
      </c>
      <c r="V139" s="573" t="s">
        <v>114</v>
      </c>
      <c r="W139" s="575" t="e">
        <f>W137/W102</f>
        <v>#DIV/0!</v>
      </c>
      <c r="X139" s="335" t="s">
        <v>114</v>
      </c>
      <c r="Y139" s="1"/>
      <c r="Z139" s="1"/>
      <c r="AA139" s="1"/>
      <c r="AB139" s="1"/>
      <c r="AC139" s="1"/>
      <c r="AD139" s="1"/>
      <c r="AE139" s="1"/>
      <c r="AF139" s="1"/>
      <c r="AG139" s="1"/>
      <c r="AH139" s="1"/>
      <c r="AI139" s="6"/>
      <c r="AJ139" s="6"/>
      <c r="AK139" s="16"/>
      <c r="AL139" s="16"/>
      <c r="AM139" s="17"/>
      <c r="AN139" s="17"/>
      <c r="AO139" s="18"/>
      <c r="AP139" s="18"/>
      <c r="AQ139" s="19"/>
      <c r="AR139" s="19"/>
      <c r="AS139" s="11"/>
      <c r="AT139" s="11"/>
      <c r="AU139" s="1"/>
      <c r="AV139" s="1"/>
      <c r="AW139" s="1"/>
      <c r="AX139" s="1"/>
      <c r="AY139" s="1"/>
      <c r="AZ139" s="1"/>
    </row>
    <row r="140" spans="1:52" s="12" customFormat="1" ht="14.4" customHeight="1" thickBot="1" x14ac:dyDescent="0.35">
      <c r="A140" s="1"/>
      <c r="B140" s="1"/>
      <c r="C140" s="1"/>
      <c r="D140" s="3"/>
      <c r="E140" s="1"/>
      <c r="F140" s="76" t="s">
        <v>33</v>
      </c>
      <c r="G140" s="223"/>
      <c r="H140" s="223"/>
      <c r="I140" s="223"/>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row>
    <row r="141" spans="1:52" s="12" customFormat="1" ht="14.4" customHeight="1" x14ac:dyDescent="0.3">
      <c r="A141" s="1"/>
      <c r="B141" s="1"/>
      <c r="C141" s="1"/>
      <c r="D141" s="3"/>
      <c r="E141" s="1"/>
      <c r="F141" s="336"/>
      <c r="G141" s="1"/>
      <c r="H141" s="336"/>
      <c r="I141" s="336"/>
      <c r="J141" s="337" t="s">
        <v>270</v>
      </c>
      <c r="K141" s="322" t="e">
        <f>AH137*(-1)</f>
        <v>#DIV/0!</v>
      </c>
      <c r="L141" s="383"/>
      <c r="M141" s="252"/>
      <c r="N141" s="252"/>
      <c r="O141" s="508" t="e">
        <f>AK137*(-1)</f>
        <v>#DIV/0!</v>
      </c>
      <c r="P141" s="389"/>
      <c r="Q141" s="512" t="e">
        <f>AM137*(-1)</f>
        <v>#DIV/0!</v>
      </c>
      <c r="R141" s="513"/>
      <c r="S141" s="518" t="e">
        <f>AO137*(-1)</f>
        <v>#DIV/0!</v>
      </c>
      <c r="T141" s="421"/>
      <c r="U141" s="521" t="e">
        <f>AQ137*(-1)</f>
        <v>#DIV/0!</v>
      </c>
      <c r="V141" s="522"/>
      <c r="W141" s="527" t="e">
        <f>AS137*(-1)</f>
        <v>#DIV/0!</v>
      </c>
      <c r="X141" s="328"/>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row>
    <row r="142" spans="1:52" s="12" customFormat="1" ht="14.4" customHeight="1" x14ac:dyDescent="0.3">
      <c r="A142" s="1"/>
      <c r="B142" s="1"/>
      <c r="C142" s="1"/>
      <c r="D142" s="3"/>
      <c r="E142" s="1"/>
      <c r="F142" s="1"/>
      <c r="G142" s="1"/>
      <c r="H142" s="1"/>
      <c r="I142" s="38" t="s">
        <v>263</v>
      </c>
      <c r="J142" s="908">
        <v>0.01</v>
      </c>
      <c r="K142" s="329" t="e">
        <f>J142*K133</f>
        <v>#DIV/0!</v>
      </c>
      <c r="L142" s="385"/>
      <c r="M142" s="39"/>
      <c r="N142" s="39"/>
      <c r="O142" s="509" t="e">
        <f>$J142*O133</f>
        <v>#DIV/0!</v>
      </c>
      <c r="P142" s="396"/>
      <c r="Q142" s="514" t="e">
        <f>J142*Q133</f>
        <v>#DIV/0!</v>
      </c>
      <c r="R142" s="515"/>
      <c r="S142" s="519" t="e">
        <f>J142*S133</f>
        <v>#DIV/0!</v>
      </c>
      <c r="T142" s="418"/>
      <c r="U142" s="523" t="e">
        <f>J142*U133</f>
        <v>#DIV/0!</v>
      </c>
      <c r="V142" s="524"/>
      <c r="W142" s="528" t="e">
        <f>J142*W133</f>
        <v>#DIV/0!</v>
      </c>
      <c r="X142" s="330"/>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row>
    <row r="143" spans="1:52" s="12" customFormat="1" ht="14.4" customHeight="1" thickBot="1" x14ac:dyDescent="0.35">
      <c r="A143" s="1"/>
      <c r="B143" s="1"/>
      <c r="C143" s="1"/>
      <c r="D143" s="3"/>
      <c r="E143" s="1"/>
      <c r="F143" s="1"/>
      <c r="G143" s="1"/>
      <c r="H143" s="1"/>
      <c r="I143" s="38" t="s">
        <v>239</v>
      </c>
      <c r="J143" s="908">
        <v>5.0000000000000001E-3</v>
      </c>
      <c r="K143" s="338" t="e">
        <f>J143*K133</f>
        <v>#DIV/0!</v>
      </c>
      <c r="L143" s="387"/>
      <c r="M143" s="260"/>
      <c r="N143" s="260"/>
      <c r="O143" s="510" t="e">
        <f>J143*O133</f>
        <v>#DIV/0!</v>
      </c>
      <c r="P143" s="511"/>
      <c r="Q143" s="516" t="e">
        <f>J143*Q133</f>
        <v>#DIV/0!</v>
      </c>
      <c r="R143" s="517"/>
      <c r="S143" s="520" t="e">
        <f>J143*S133</f>
        <v>#DIV/0!</v>
      </c>
      <c r="T143" s="420"/>
      <c r="U143" s="525" t="e">
        <f>U133*J143</f>
        <v>#DIV/0!</v>
      </c>
      <c r="V143" s="526"/>
      <c r="W143" s="529" t="e">
        <f>J143*W133</f>
        <v>#DIV/0!</v>
      </c>
      <c r="X143" s="339"/>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row>
    <row r="144" spans="1:52" s="12" customFormat="1" ht="14.4" customHeight="1" thickBot="1" x14ac:dyDescent="0.35">
      <c r="A144" s="1"/>
      <c r="B144" s="1"/>
      <c r="C144" s="1"/>
      <c r="D144" s="3"/>
      <c r="E144" s="1"/>
      <c r="F144" s="1"/>
      <c r="G144" s="40"/>
      <c r="H144" s="1"/>
      <c r="I144" s="1" t="s">
        <v>144</v>
      </c>
      <c r="J144" s="1"/>
      <c r="K144" s="22"/>
      <c r="L144" s="22"/>
      <c r="M144" s="39"/>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row>
    <row r="145" spans="1:52" s="12" customFormat="1" ht="14.4" customHeight="1" thickBot="1" x14ac:dyDescent="0.35">
      <c r="A145" s="1"/>
      <c r="B145" s="1"/>
      <c r="C145" s="1"/>
      <c r="D145" s="3"/>
      <c r="E145" s="1"/>
      <c r="F145" s="1"/>
      <c r="G145" s="40"/>
      <c r="H145" s="1"/>
      <c r="I145" s="1"/>
      <c r="J145" s="321" t="s">
        <v>269</v>
      </c>
      <c r="K145" s="340" t="e">
        <f>K141+K142+K143</f>
        <v>#DIV/0!</v>
      </c>
      <c r="L145" s="341"/>
      <c r="M145" s="334"/>
      <c r="N145" s="334"/>
      <c r="O145" s="401" t="e">
        <f>O141+O142+O143</f>
        <v>#DIV/0!</v>
      </c>
      <c r="P145" s="402"/>
      <c r="Q145" s="394" t="e">
        <f>Q141+Q142+Q143</f>
        <v>#DIV/0!</v>
      </c>
      <c r="R145" s="507"/>
      <c r="S145" s="428" t="e">
        <f>S141+S142+S143</f>
        <v>#DIV/0!</v>
      </c>
      <c r="T145" s="429"/>
      <c r="U145" s="439" t="e">
        <f>U141+U142+U143</f>
        <v>#DIV/0!</v>
      </c>
      <c r="V145" s="440"/>
      <c r="W145" s="446" t="e">
        <f>W141+W142+W143</f>
        <v>#DIV/0!</v>
      </c>
      <c r="X145" s="342"/>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row>
    <row r="146" spans="1:52" s="12" customFormat="1" ht="14.4" customHeight="1" thickBot="1" x14ac:dyDescent="0.35">
      <c r="A146" s="1"/>
      <c r="B146" s="1"/>
      <c r="C146" s="1"/>
      <c r="D146" s="3"/>
      <c r="E146" s="1"/>
      <c r="F146" s="1"/>
      <c r="G146" s="1"/>
      <c r="H146" s="1"/>
      <c r="I146" s="1289" t="s">
        <v>291</v>
      </c>
      <c r="J146" s="1290"/>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row>
    <row r="147" spans="1:52" s="12" customFormat="1" ht="14.4" customHeight="1" thickBot="1" x14ac:dyDescent="0.35">
      <c r="A147" s="1"/>
      <c r="B147" s="42" t="s">
        <v>229</v>
      </c>
      <c r="C147" s="1"/>
      <c r="D147" s="3"/>
      <c r="E147" s="1"/>
      <c r="F147" s="1"/>
      <c r="G147" s="40"/>
      <c r="H147" s="1"/>
      <c r="I147" s="1"/>
      <c r="J147" s="38"/>
      <c r="K147" s="530" t="str">
        <f>K55</f>
        <v>Existing Production System</v>
      </c>
      <c r="L147" s="530"/>
      <c r="M147" s="531"/>
      <c r="N147" s="321"/>
      <c r="O147" s="1181" t="str">
        <f>O104</f>
        <v>1. Floor Feeding</v>
      </c>
      <c r="P147" s="1182"/>
      <c r="Q147" s="1183" t="str">
        <f>Q104</f>
        <v xml:space="preserve">2. Short Stalls </v>
      </c>
      <c r="R147" s="1184"/>
      <c r="S147" s="1185" t="str">
        <f>S104</f>
        <v>3. Trickle Feeding</v>
      </c>
      <c r="T147" s="1186"/>
      <c r="U147" s="1187" t="str">
        <f>U104</f>
        <v>4. Elec Sow Feeding</v>
      </c>
      <c r="V147" s="1188"/>
      <c r="W147" s="1189" t="str">
        <f>W104</f>
        <v>5. Free Access Stalls</v>
      </c>
      <c r="X147" s="1190"/>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row>
    <row r="148" spans="1:52" s="12" customFormat="1" ht="14.4" customHeight="1" thickBot="1" x14ac:dyDescent="0.35">
      <c r="A148" s="1"/>
      <c r="B148" s="1"/>
      <c r="C148" s="1"/>
      <c r="D148" s="1"/>
      <c r="E148" s="1"/>
      <c r="F148" s="1"/>
      <c r="G148" s="223"/>
      <c r="H148" s="223"/>
      <c r="I148" s="223"/>
      <c r="J148" s="265" t="s">
        <v>252</v>
      </c>
      <c r="K148" s="1221" t="s">
        <v>72</v>
      </c>
      <c r="L148" s="1222"/>
      <c r="M148" s="1223"/>
      <c r="N148" s="1223"/>
      <c r="O148" s="1211" t="s">
        <v>115</v>
      </c>
      <c r="P148" s="1212"/>
      <c r="Q148" s="1213" t="str">
        <f>O148</f>
        <v>Expected Cost/Sow/Yr</v>
      </c>
      <c r="R148" s="1214"/>
      <c r="S148" s="1215" t="str">
        <f>O148</f>
        <v>Expected Cost/Sow/Yr</v>
      </c>
      <c r="T148" s="1216"/>
      <c r="U148" s="1217" t="str">
        <f>O148</f>
        <v>Expected Cost/Sow/Yr</v>
      </c>
      <c r="V148" s="1218"/>
      <c r="W148" s="1219" t="str">
        <f>O148</f>
        <v>Expected Cost/Sow/Yr</v>
      </c>
      <c r="X148" s="1220"/>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1:52" s="12" customFormat="1" ht="14.4" customHeight="1" x14ac:dyDescent="0.3">
      <c r="A149" s="1"/>
      <c r="B149" s="1"/>
      <c r="C149" s="1"/>
      <c r="D149" s="3"/>
      <c r="E149" s="214"/>
      <c r="F149" s="1"/>
      <c r="G149" s="14" t="s">
        <v>16</v>
      </c>
      <c r="H149" s="13"/>
      <c r="I149" s="13"/>
      <c r="J149" s="343">
        <v>70000</v>
      </c>
      <c r="K149" s="534" t="e">
        <f>J149/K$58</f>
        <v>#DIV/0!</v>
      </c>
      <c r="L149" s="535" t="s">
        <v>114</v>
      </c>
      <c r="M149" s="252"/>
      <c r="N149" s="252"/>
      <c r="O149" s="459" t="e">
        <f>$K149</f>
        <v>#DIV/0!</v>
      </c>
      <c r="P149" s="460" t="s">
        <v>114</v>
      </c>
      <c r="Q149" s="459" t="e">
        <f>$K149</f>
        <v>#DIV/0!</v>
      </c>
      <c r="R149" s="475" t="s">
        <v>114</v>
      </c>
      <c r="S149" s="459" t="e">
        <f>$K149</f>
        <v>#DIV/0!</v>
      </c>
      <c r="T149" s="485" t="s">
        <v>114</v>
      </c>
      <c r="U149" s="459" t="e">
        <f>$K149</f>
        <v>#DIV/0!</v>
      </c>
      <c r="V149" s="495" t="s">
        <v>114</v>
      </c>
      <c r="W149" s="459" t="e">
        <f>$K149</f>
        <v>#DIV/0!</v>
      </c>
      <c r="X149" s="344" t="s">
        <v>114</v>
      </c>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1:52" s="12" customFormat="1" ht="14.4" customHeight="1" x14ac:dyDescent="0.3">
      <c r="A150" s="1"/>
      <c r="B150" s="1"/>
      <c r="C150" s="1"/>
      <c r="D150" s="3"/>
      <c r="E150" s="1"/>
      <c r="F150" s="1"/>
      <c r="G150" s="21" t="s">
        <v>17</v>
      </c>
      <c r="H150" s="22"/>
      <c r="I150" s="22"/>
      <c r="J150" s="327">
        <v>8500</v>
      </c>
      <c r="K150" s="536" t="e">
        <f t="shared" ref="K150:K161" si="17">J150/K$58</f>
        <v>#DIV/0!</v>
      </c>
      <c r="L150" s="537" t="s">
        <v>114</v>
      </c>
      <c r="M150" s="39"/>
      <c r="N150" s="39"/>
      <c r="O150" s="461" t="e">
        <f t="shared" ref="O150:W164" si="18">$K150</f>
        <v>#DIV/0!</v>
      </c>
      <c r="P150" s="462" t="s">
        <v>114</v>
      </c>
      <c r="Q150" s="461" t="e">
        <f t="shared" si="18"/>
        <v>#DIV/0!</v>
      </c>
      <c r="R150" s="476" t="s">
        <v>114</v>
      </c>
      <c r="S150" s="461" t="e">
        <f t="shared" si="18"/>
        <v>#DIV/0!</v>
      </c>
      <c r="T150" s="486" t="s">
        <v>114</v>
      </c>
      <c r="U150" s="461" t="e">
        <f t="shared" si="18"/>
        <v>#DIV/0!</v>
      </c>
      <c r="V150" s="496" t="s">
        <v>114</v>
      </c>
      <c r="W150" s="461" t="e">
        <f t="shared" si="18"/>
        <v>#DIV/0!</v>
      </c>
      <c r="X150" s="345" t="s">
        <v>114</v>
      </c>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1:52" s="12" customFormat="1" ht="14.4" customHeight="1" thickBot="1" x14ac:dyDescent="0.35">
      <c r="A151" s="1"/>
      <c r="B151" s="1"/>
      <c r="C151" s="1"/>
      <c r="D151" s="3"/>
      <c r="E151" s="1"/>
      <c r="F151" s="1"/>
      <c r="G151" s="24" t="s">
        <v>50</v>
      </c>
      <c r="H151" s="25"/>
      <c r="I151" s="25"/>
      <c r="J151" s="346">
        <v>0</v>
      </c>
      <c r="K151" s="538" t="e">
        <f t="shared" si="17"/>
        <v>#DIV/0!</v>
      </c>
      <c r="L151" s="539" t="s">
        <v>114</v>
      </c>
      <c r="M151" s="260"/>
      <c r="N151" s="260"/>
      <c r="O151" s="463" t="e">
        <f t="shared" si="18"/>
        <v>#DIV/0!</v>
      </c>
      <c r="P151" s="464" t="s">
        <v>114</v>
      </c>
      <c r="Q151" s="463" t="e">
        <f t="shared" si="18"/>
        <v>#DIV/0!</v>
      </c>
      <c r="R151" s="477" t="s">
        <v>114</v>
      </c>
      <c r="S151" s="463" t="e">
        <f t="shared" si="18"/>
        <v>#DIV/0!</v>
      </c>
      <c r="T151" s="487" t="s">
        <v>114</v>
      </c>
      <c r="U151" s="463" t="e">
        <f t="shared" si="18"/>
        <v>#DIV/0!</v>
      </c>
      <c r="V151" s="497" t="s">
        <v>114</v>
      </c>
      <c r="W151" s="463" t="e">
        <f t="shared" si="18"/>
        <v>#DIV/0!</v>
      </c>
      <c r="X151" s="347" t="s">
        <v>114</v>
      </c>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1:52" s="12" customFormat="1" ht="14.4" customHeight="1" x14ac:dyDescent="0.3">
      <c r="A152" s="1"/>
      <c r="B152" s="1"/>
      <c r="C152" s="1"/>
      <c r="D152" s="3"/>
      <c r="E152" s="1"/>
      <c r="F152" s="1"/>
      <c r="G152" s="21" t="s">
        <v>18</v>
      </c>
      <c r="H152" s="14"/>
      <c r="I152" s="14"/>
      <c r="J152" s="343">
        <v>3000</v>
      </c>
      <c r="K152" s="534" t="e">
        <f t="shared" si="17"/>
        <v>#DIV/0!</v>
      </c>
      <c r="L152" s="535" t="s">
        <v>114</v>
      </c>
      <c r="M152" s="252"/>
      <c r="N152" s="252"/>
      <c r="O152" s="459" t="e">
        <f t="shared" si="18"/>
        <v>#DIV/0!</v>
      </c>
      <c r="P152" s="460" t="s">
        <v>114</v>
      </c>
      <c r="Q152" s="459" t="e">
        <f t="shared" si="18"/>
        <v>#DIV/0!</v>
      </c>
      <c r="R152" s="475" t="s">
        <v>114</v>
      </c>
      <c r="S152" s="459" t="e">
        <f t="shared" si="18"/>
        <v>#DIV/0!</v>
      </c>
      <c r="T152" s="485" t="s">
        <v>114</v>
      </c>
      <c r="U152" s="459" t="e">
        <f t="shared" si="18"/>
        <v>#DIV/0!</v>
      </c>
      <c r="V152" s="495" t="s">
        <v>114</v>
      </c>
      <c r="W152" s="459" t="e">
        <f t="shared" si="18"/>
        <v>#DIV/0!</v>
      </c>
      <c r="X152" s="344" t="s">
        <v>114</v>
      </c>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1:52" s="12" customFormat="1" ht="14.4" customHeight="1" x14ac:dyDescent="0.3">
      <c r="A153" s="1"/>
      <c r="B153" s="1"/>
      <c r="C153" s="1"/>
      <c r="D153" s="3"/>
      <c r="E153" s="1"/>
      <c r="F153" s="1"/>
      <c r="G153" s="21" t="s">
        <v>19</v>
      </c>
      <c r="H153" s="21"/>
      <c r="I153" s="21"/>
      <c r="J153" s="327">
        <v>0</v>
      </c>
      <c r="K153" s="536" t="e">
        <f t="shared" si="17"/>
        <v>#DIV/0!</v>
      </c>
      <c r="L153" s="537" t="s">
        <v>114</v>
      </c>
      <c r="M153" s="39"/>
      <c r="N153" s="39"/>
      <c r="O153" s="461" t="e">
        <f t="shared" si="18"/>
        <v>#DIV/0!</v>
      </c>
      <c r="P153" s="462" t="s">
        <v>114</v>
      </c>
      <c r="Q153" s="461" t="e">
        <f t="shared" si="18"/>
        <v>#DIV/0!</v>
      </c>
      <c r="R153" s="476" t="s">
        <v>114</v>
      </c>
      <c r="S153" s="461" t="e">
        <f t="shared" si="18"/>
        <v>#DIV/0!</v>
      </c>
      <c r="T153" s="486" t="s">
        <v>114</v>
      </c>
      <c r="U153" s="461" t="e">
        <f t="shared" si="18"/>
        <v>#DIV/0!</v>
      </c>
      <c r="V153" s="496" t="s">
        <v>114</v>
      </c>
      <c r="W153" s="461" t="e">
        <f t="shared" si="18"/>
        <v>#DIV/0!</v>
      </c>
      <c r="X153" s="345" t="s">
        <v>114</v>
      </c>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1:52" s="12" customFormat="1" ht="14.4" customHeight="1" thickBot="1" x14ac:dyDescent="0.35">
      <c r="A154" s="1"/>
      <c r="B154" s="1"/>
      <c r="C154" s="1"/>
      <c r="D154" s="3"/>
      <c r="E154" s="1"/>
      <c r="F154" s="1"/>
      <c r="G154" s="24" t="s">
        <v>20</v>
      </c>
      <c r="H154" s="24"/>
      <c r="I154" s="24"/>
      <c r="J154" s="346">
        <v>0</v>
      </c>
      <c r="K154" s="538" t="e">
        <f t="shared" si="17"/>
        <v>#DIV/0!</v>
      </c>
      <c r="L154" s="539" t="s">
        <v>114</v>
      </c>
      <c r="M154" s="260"/>
      <c r="N154" s="260"/>
      <c r="O154" s="463" t="e">
        <f t="shared" si="18"/>
        <v>#DIV/0!</v>
      </c>
      <c r="P154" s="464" t="s">
        <v>114</v>
      </c>
      <c r="Q154" s="463" t="e">
        <f t="shared" si="18"/>
        <v>#DIV/0!</v>
      </c>
      <c r="R154" s="477" t="s">
        <v>114</v>
      </c>
      <c r="S154" s="463" t="e">
        <f t="shared" si="18"/>
        <v>#DIV/0!</v>
      </c>
      <c r="T154" s="487" t="s">
        <v>114</v>
      </c>
      <c r="U154" s="463" t="e">
        <f t="shared" si="18"/>
        <v>#DIV/0!</v>
      </c>
      <c r="V154" s="497" t="s">
        <v>114</v>
      </c>
      <c r="W154" s="463" t="e">
        <f t="shared" si="18"/>
        <v>#DIV/0!</v>
      </c>
      <c r="X154" s="347" t="s">
        <v>114</v>
      </c>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52" s="12" customFormat="1" ht="14.4" customHeight="1" x14ac:dyDescent="0.3">
      <c r="A155" s="1"/>
      <c r="B155" s="1"/>
      <c r="C155" s="1"/>
      <c r="D155" s="209"/>
      <c r="E155" s="1"/>
      <c r="F155" s="1"/>
      <c r="G155" s="14"/>
      <c r="H155" s="13" t="s">
        <v>12</v>
      </c>
      <c r="I155" s="13"/>
      <c r="J155" s="343">
        <v>9000</v>
      </c>
      <c r="K155" s="534" t="e">
        <f t="shared" si="17"/>
        <v>#DIV/0!</v>
      </c>
      <c r="L155" s="535" t="s">
        <v>114</v>
      </c>
      <c r="M155" s="252"/>
      <c r="N155" s="252"/>
      <c r="O155" s="459" t="e">
        <f t="shared" si="18"/>
        <v>#DIV/0!</v>
      </c>
      <c r="P155" s="460" t="s">
        <v>114</v>
      </c>
      <c r="Q155" s="459" t="e">
        <f t="shared" si="18"/>
        <v>#DIV/0!</v>
      </c>
      <c r="R155" s="475" t="s">
        <v>114</v>
      </c>
      <c r="S155" s="459" t="e">
        <f t="shared" si="18"/>
        <v>#DIV/0!</v>
      </c>
      <c r="T155" s="485" t="s">
        <v>114</v>
      </c>
      <c r="U155" s="459" t="e">
        <f t="shared" si="18"/>
        <v>#DIV/0!</v>
      </c>
      <c r="V155" s="495" t="s">
        <v>114</v>
      </c>
      <c r="W155" s="459" t="e">
        <f t="shared" si="18"/>
        <v>#DIV/0!</v>
      </c>
      <c r="X155" s="344" t="s">
        <v>114</v>
      </c>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1:52" s="12" customFormat="1" ht="14.4" customHeight="1" x14ac:dyDescent="0.3">
      <c r="A156" s="1"/>
      <c r="B156" s="1"/>
      <c r="C156" s="1"/>
      <c r="D156" s="209"/>
      <c r="E156" s="1"/>
      <c r="F156" s="1"/>
      <c r="G156" s="21"/>
      <c r="H156" s="22" t="s">
        <v>21</v>
      </c>
      <c r="I156" s="22"/>
      <c r="J156" s="327">
        <v>2000</v>
      </c>
      <c r="K156" s="536" t="e">
        <f t="shared" si="17"/>
        <v>#DIV/0!</v>
      </c>
      <c r="L156" s="537" t="s">
        <v>114</v>
      </c>
      <c r="M156" s="39"/>
      <c r="N156" s="39"/>
      <c r="O156" s="461" t="e">
        <f t="shared" si="18"/>
        <v>#DIV/0!</v>
      </c>
      <c r="P156" s="462" t="s">
        <v>114</v>
      </c>
      <c r="Q156" s="461" t="e">
        <f t="shared" si="18"/>
        <v>#DIV/0!</v>
      </c>
      <c r="R156" s="476" t="s">
        <v>114</v>
      </c>
      <c r="S156" s="461" t="e">
        <f t="shared" si="18"/>
        <v>#DIV/0!</v>
      </c>
      <c r="T156" s="486" t="s">
        <v>114</v>
      </c>
      <c r="U156" s="461" t="e">
        <f t="shared" si="18"/>
        <v>#DIV/0!</v>
      </c>
      <c r="V156" s="496" t="s">
        <v>114</v>
      </c>
      <c r="W156" s="461" t="e">
        <f t="shared" si="18"/>
        <v>#DIV/0!</v>
      </c>
      <c r="X156" s="345" t="s">
        <v>114</v>
      </c>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1:52" s="12" customFormat="1" ht="14.4" customHeight="1" thickBot="1" x14ac:dyDescent="0.35">
      <c r="A157" s="1"/>
      <c r="B157" s="1"/>
      <c r="C157" s="1"/>
      <c r="D157" s="209"/>
      <c r="E157" s="1"/>
      <c r="F157" s="1"/>
      <c r="G157" s="24"/>
      <c r="H157" s="25" t="s">
        <v>22</v>
      </c>
      <c r="I157" s="25"/>
      <c r="J157" s="346">
        <v>0</v>
      </c>
      <c r="K157" s="538" t="e">
        <f t="shared" si="17"/>
        <v>#DIV/0!</v>
      </c>
      <c r="L157" s="539" t="s">
        <v>114</v>
      </c>
      <c r="M157" s="260"/>
      <c r="N157" s="260"/>
      <c r="O157" s="463" t="e">
        <f t="shared" si="18"/>
        <v>#DIV/0!</v>
      </c>
      <c r="P157" s="464" t="s">
        <v>114</v>
      </c>
      <c r="Q157" s="463" t="e">
        <f t="shared" si="18"/>
        <v>#DIV/0!</v>
      </c>
      <c r="R157" s="477" t="s">
        <v>114</v>
      </c>
      <c r="S157" s="463" t="e">
        <f t="shared" si="18"/>
        <v>#DIV/0!</v>
      </c>
      <c r="T157" s="487" t="s">
        <v>114</v>
      </c>
      <c r="U157" s="463" t="e">
        <f t="shared" si="18"/>
        <v>#DIV/0!</v>
      </c>
      <c r="V157" s="497" t="s">
        <v>114</v>
      </c>
      <c r="W157" s="463" t="e">
        <f t="shared" si="18"/>
        <v>#DIV/0!</v>
      </c>
      <c r="X157" s="347" t="s">
        <v>114</v>
      </c>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1:52" s="12" customFormat="1" ht="14.4" customHeight="1" x14ac:dyDescent="0.3">
      <c r="A158" s="1"/>
      <c r="B158" s="1"/>
      <c r="C158" s="1"/>
      <c r="D158" s="209"/>
      <c r="E158" s="1"/>
      <c r="F158" s="1"/>
      <c r="G158" s="14"/>
      <c r="H158" s="13" t="s">
        <v>23</v>
      </c>
      <c r="I158" s="13"/>
      <c r="J158" s="343">
        <v>500</v>
      </c>
      <c r="K158" s="534" t="e">
        <f t="shared" si="17"/>
        <v>#DIV/0!</v>
      </c>
      <c r="L158" s="535" t="s">
        <v>114</v>
      </c>
      <c r="M158" s="252"/>
      <c r="N158" s="252"/>
      <c r="O158" s="459" t="e">
        <f t="shared" si="18"/>
        <v>#DIV/0!</v>
      </c>
      <c r="P158" s="460" t="s">
        <v>114</v>
      </c>
      <c r="Q158" s="459" t="e">
        <f t="shared" si="18"/>
        <v>#DIV/0!</v>
      </c>
      <c r="R158" s="475" t="s">
        <v>114</v>
      </c>
      <c r="S158" s="459" t="e">
        <f t="shared" si="18"/>
        <v>#DIV/0!</v>
      </c>
      <c r="T158" s="485" t="s">
        <v>114</v>
      </c>
      <c r="U158" s="459" t="e">
        <f t="shared" si="18"/>
        <v>#DIV/0!</v>
      </c>
      <c r="V158" s="495" t="s">
        <v>114</v>
      </c>
      <c r="W158" s="459" t="e">
        <f t="shared" si="18"/>
        <v>#DIV/0!</v>
      </c>
      <c r="X158" s="344" t="s">
        <v>114</v>
      </c>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1:52" s="12" customFormat="1" ht="14.4" customHeight="1" x14ac:dyDescent="0.3">
      <c r="A159" s="1"/>
      <c r="B159" s="1"/>
      <c r="C159" s="1"/>
      <c r="D159" s="209"/>
      <c r="E159" s="1"/>
      <c r="F159" s="1"/>
      <c r="G159" s="21" t="s">
        <v>26</v>
      </c>
      <c r="H159" s="22"/>
      <c r="I159" s="22"/>
      <c r="J159" s="327">
        <v>0</v>
      </c>
      <c r="K159" s="536" t="e">
        <f t="shared" si="17"/>
        <v>#DIV/0!</v>
      </c>
      <c r="L159" s="537" t="s">
        <v>114</v>
      </c>
      <c r="M159" s="39"/>
      <c r="N159" s="39"/>
      <c r="O159" s="461" t="e">
        <f t="shared" si="18"/>
        <v>#DIV/0!</v>
      </c>
      <c r="P159" s="462" t="s">
        <v>114</v>
      </c>
      <c r="Q159" s="461" t="e">
        <f t="shared" si="18"/>
        <v>#DIV/0!</v>
      </c>
      <c r="R159" s="476" t="s">
        <v>114</v>
      </c>
      <c r="S159" s="461" t="e">
        <f t="shared" si="18"/>
        <v>#DIV/0!</v>
      </c>
      <c r="T159" s="486" t="s">
        <v>114</v>
      </c>
      <c r="U159" s="461" t="e">
        <f t="shared" si="18"/>
        <v>#DIV/0!</v>
      </c>
      <c r="V159" s="496" t="s">
        <v>114</v>
      </c>
      <c r="W159" s="461" t="e">
        <f t="shared" si="18"/>
        <v>#DIV/0!</v>
      </c>
      <c r="X159" s="345" t="s">
        <v>114</v>
      </c>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1:52" s="12" customFormat="1" ht="14.4" customHeight="1" thickBot="1" x14ac:dyDescent="0.35">
      <c r="A160" s="1"/>
      <c r="B160" s="1"/>
      <c r="C160" s="1"/>
      <c r="D160" s="209"/>
      <c r="E160" s="1"/>
      <c r="F160" s="1"/>
      <c r="G160" s="24"/>
      <c r="H160" s="25" t="s">
        <v>27</v>
      </c>
      <c r="I160" s="25"/>
      <c r="J160" s="346">
        <v>1500</v>
      </c>
      <c r="K160" s="538" t="e">
        <f t="shared" si="17"/>
        <v>#DIV/0!</v>
      </c>
      <c r="L160" s="539" t="s">
        <v>114</v>
      </c>
      <c r="M160" s="260"/>
      <c r="N160" s="260"/>
      <c r="O160" s="463" t="e">
        <f t="shared" si="18"/>
        <v>#DIV/0!</v>
      </c>
      <c r="P160" s="464" t="s">
        <v>114</v>
      </c>
      <c r="Q160" s="463" t="e">
        <f t="shared" si="18"/>
        <v>#DIV/0!</v>
      </c>
      <c r="R160" s="477" t="s">
        <v>114</v>
      </c>
      <c r="S160" s="463" t="e">
        <f t="shared" si="18"/>
        <v>#DIV/0!</v>
      </c>
      <c r="T160" s="487" t="s">
        <v>114</v>
      </c>
      <c r="U160" s="463" t="e">
        <f t="shared" si="18"/>
        <v>#DIV/0!</v>
      </c>
      <c r="V160" s="497" t="s">
        <v>114</v>
      </c>
      <c r="W160" s="463" t="e">
        <f t="shared" si="18"/>
        <v>#DIV/0!</v>
      </c>
      <c r="X160" s="347" t="s">
        <v>114</v>
      </c>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52" s="12" customFormat="1" ht="14.4" customHeight="1" x14ac:dyDescent="0.3">
      <c r="A161" s="1"/>
      <c r="B161" s="1"/>
      <c r="C161" s="1"/>
      <c r="D161" s="209"/>
      <c r="E161" s="1"/>
      <c r="F161" s="1"/>
      <c r="G161" s="14"/>
      <c r="H161" s="13" t="s">
        <v>28</v>
      </c>
      <c r="I161" s="13"/>
      <c r="J161" s="343">
        <v>22000</v>
      </c>
      <c r="K161" s="534" t="e">
        <f t="shared" si="17"/>
        <v>#DIV/0!</v>
      </c>
      <c r="L161" s="535" t="s">
        <v>114</v>
      </c>
      <c r="M161" s="252"/>
      <c r="N161" s="252"/>
      <c r="O161" s="459" t="e">
        <f t="shared" si="18"/>
        <v>#DIV/0!</v>
      </c>
      <c r="P161" s="460" t="s">
        <v>114</v>
      </c>
      <c r="Q161" s="459" t="e">
        <f t="shared" si="18"/>
        <v>#DIV/0!</v>
      </c>
      <c r="R161" s="475" t="s">
        <v>114</v>
      </c>
      <c r="S161" s="459" t="e">
        <f t="shared" si="18"/>
        <v>#DIV/0!</v>
      </c>
      <c r="T161" s="485" t="s">
        <v>114</v>
      </c>
      <c r="U161" s="459" t="e">
        <f t="shared" si="18"/>
        <v>#DIV/0!</v>
      </c>
      <c r="V161" s="495" t="s">
        <v>114</v>
      </c>
      <c r="W161" s="459" t="e">
        <f t="shared" si="18"/>
        <v>#DIV/0!</v>
      </c>
      <c r="X161" s="344" t="s">
        <v>114</v>
      </c>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1:52" s="12" customFormat="1" ht="14.4" customHeight="1" x14ac:dyDescent="0.3">
      <c r="A162" s="1"/>
      <c r="B162" s="1"/>
      <c r="C162" s="1"/>
      <c r="D162" s="209"/>
      <c r="E162" s="214"/>
      <c r="F162" s="1"/>
      <c r="G162" s="21" t="s">
        <v>54</v>
      </c>
      <c r="H162" s="22"/>
      <c r="I162" s="22"/>
      <c r="J162" s="22"/>
      <c r="K162" s="536">
        <f>L162*J136</f>
        <v>135</v>
      </c>
      <c r="L162" s="348">
        <v>0.45</v>
      </c>
      <c r="M162" s="39"/>
      <c r="N162" s="39"/>
      <c r="O162" s="465">
        <f>P162*$J136</f>
        <v>135</v>
      </c>
      <c r="P162" s="466">
        <v>0.45</v>
      </c>
      <c r="Q162" s="478">
        <f>R162*$J136</f>
        <v>135</v>
      </c>
      <c r="R162" s="466">
        <f>L162</f>
        <v>0.45</v>
      </c>
      <c r="S162" s="488">
        <f>T162*$J136</f>
        <v>135</v>
      </c>
      <c r="T162" s="466">
        <f>L162</f>
        <v>0.45</v>
      </c>
      <c r="U162" s="498">
        <f>V162*$J136</f>
        <v>135</v>
      </c>
      <c r="V162" s="466">
        <f>L162</f>
        <v>0.45</v>
      </c>
      <c r="W162" s="504">
        <f>X162*$J136</f>
        <v>135</v>
      </c>
      <c r="X162" s="348">
        <f>L162</f>
        <v>0.45</v>
      </c>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1:52" s="12" customFormat="1" ht="14.4" customHeight="1" thickBot="1" x14ac:dyDescent="0.35">
      <c r="A163" s="1"/>
      <c r="B163" s="1"/>
      <c r="C163" s="1"/>
      <c r="D163" s="349"/>
      <c r="E163" s="1"/>
      <c r="F163" s="1"/>
      <c r="G163" s="1351" t="s">
        <v>74</v>
      </c>
      <c r="H163" s="1352"/>
      <c r="I163" s="1353"/>
      <c r="J163" s="350">
        <v>20000</v>
      </c>
      <c r="K163" s="540" t="e">
        <f>J163/K$58</f>
        <v>#DIV/0!</v>
      </c>
      <c r="L163" s="537" t="s">
        <v>114</v>
      </c>
      <c r="M163" s="39"/>
      <c r="N163" s="39"/>
      <c r="O163" s="467" t="e">
        <f t="shared" si="18"/>
        <v>#DIV/0!</v>
      </c>
      <c r="P163" s="462" t="s">
        <v>114</v>
      </c>
      <c r="Q163" s="467" t="e">
        <f t="shared" si="18"/>
        <v>#DIV/0!</v>
      </c>
      <c r="R163" s="476" t="s">
        <v>114</v>
      </c>
      <c r="S163" s="467" t="e">
        <f t="shared" si="18"/>
        <v>#DIV/0!</v>
      </c>
      <c r="T163" s="486" t="s">
        <v>114</v>
      </c>
      <c r="U163" s="467" t="e">
        <f t="shared" si="18"/>
        <v>#DIV/0!</v>
      </c>
      <c r="V163" s="496" t="s">
        <v>114</v>
      </c>
      <c r="W163" s="467" t="e">
        <f t="shared" si="18"/>
        <v>#DIV/0!</v>
      </c>
      <c r="X163" s="345" t="s">
        <v>114</v>
      </c>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1:52" s="12" customFormat="1" ht="14.4" customHeight="1" thickBot="1" x14ac:dyDescent="0.35">
      <c r="A164" s="1"/>
      <c r="B164" s="1"/>
      <c r="C164" s="1"/>
      <c r="D164" s="349"/>
      <c r="E164" s="1"/>
      <c r="F164" s="1"/>
      <c r="G164" s="1348" t="s">
        <v>181</v>
      </c>
      <c r="H164" s="1349"/>
      <c r="I164" s="1350"/>
      <c r="J164" s="351"/>
      <c r="K164" s="541" t="e">
        <f>J164/K$58</f>
        <v>#DIV/0!</v>
      </c>
      <c r="L164" s="535" t="s">
        <v>114</v>
      </c>
      <c r="M164" s="252"/>
      <c r="N164" s="252"/>
      <c r="O164" s="468" t="e">
        <f t="shared" si="18"/>
        <v>#DIV/0!</v>
      </c>
      <c r="P164" s="460" t="s">
        <v>114</v>
      </c>
      <c r="Q164" s="468" t="e">
        <f t="shared" si="18"/>
        <v>#DIV/0!</v>
      </c>
      <c r="R164" s="475" t="s">
        <v>114</v>
      </c>
      <c r="S164" s="468" t="e">
        <f t="shared" si="18"/>
        <v>#DIV/0!</v>
      </c>
      <c r="T164" s="485" t="s">
        <v>114</v>
      </c>
      <c r="U164" s="468" t="e">
        <f t="shared" si="18"/>
        <v>#DIV/0!</v>
      </c>
      <c r="V164" s="495" t="s">
        <v>114</v>
      </c>
      <c r="W164" s="468" t="e">
        <f t="shared" si="18"/>
        <v>#DIV/0!</v>
      </c>
      <c r="X164" s="344" t="s">
        <v>114</v>
      </c>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1:52" s="12" customFormat="1" ht="14.4" customHeight="1" thickBot="1" x14ac:dyDescent="0.35">
      <c r="A165" s="1"/>
      <c r="B165" s="1"/>
      <c r="C165" s="1"/>
      <c r="D165" s="209"/>
      <c r="E165" s="1"/>
      <c r="F165" s="1"/>
      <c r="G165" s="295"/>
      <c r="H165" s="352"/>
      <c r="I165" s="352"/>
      <c r="J165" s="334" t="s">
        <v>42</v>
      </c>
      <c r="K165" s="333" t="e">
        <f>SUM(K149:K164)</f>
        <v>#DIV/0!</v>
      </c>
      <c r="L165" s="542" t="s">
        <v>114</v>
      </c>
      <c r="M165" s="334"/>
      <c r="N165" s="334"/>
      <c r="O165" s="469" t="e">
        <f>SUM(O149:O164)</f>
        <v>#DIV/0!</v>
      </c>
      <c r="P165" s="470" t="s">
        <v>114</v>
      </c>
      <c r="Q165" s="479" t="e">
        <f>SUM(Q149:Q164)</f>
        <v>#DIV/0!</v>
      </c>
      <c r="R165" s="480" t="s">
        <v>114</v>
      </c>
      <c r="S165" s="489" t="e">
        <f>SUM(S149:S164)</f>
        <v>#DIV/0!</v>
      </c>
      <c r="T165" s="490" t="s">
        <v>114</v>
      </c>
      <c r="U165" s="499" t="e">
        <f>SUM(U149:U164)</f>
        <v>#DIV/0!</v>
      </c>
      <c r="V165" s="500" t="s">
        <v>114</v>
      </c>
      <c r="W165" s="505" t="e">
        <f>SUM(W149:W164)</f>
        <v>#DIV/0!</v>
      </c>
      <c r="X165" s="353" t="s">
        <v>114</v>
      </c>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1:52" s="12" customFormat="1" ht="14.4" customHeight="1" thickBot="1" x14ac:dyDescent="0.35">
      <c r="A166" s="1"/>
      <c r="B166" s="1"/>
      <c r="C166" s="1"/>
      <c r="D166" s="209"/>
      <c r="E166" s="1"/>
      <c r="F166" s="1"/>
      <c r="G166" s="24"/>
      <c r="H166" s="25"/>
      <c r="I166" s="354"/>
      <c r="J166" s="355" t="s">
        <v>45</v>
      </c>
      <c r="K166" s="543" t="e">
        <f>K165*K74</f>
        <v>#DIV/0!</v>
      </c>
      <c r="L166" s="544"/>
      <c r="M166" s="260"/>
      <c r="N166" s="260"/>
      <c r="O166" s="471" t="e">
        <f>O165*AK98</f>
        <v>#DIV/0!</v>
      </c>
      <c r="P166" s="472"/>
      <c r="Q166" s="481" t="e">
        <f>Q165*AM98</f>
        <v>#DIV/0!</v>
      </c>
      <c r="R166" s="482"/>
      <c r="S166" s="491" t="e">
        <f>S165*AO98</f>
        <v>#DIV/0!</v>
      </c>
      <c r="T166" s="492"/>
      <c r="U166" s="501" t="e">
        <f>U165*AQ98</f>
        <v>#DIV/0!</v>
      </c>
      <c r="V166" s="502"/>
      <c r="W166" s="506" t="e">
        <f>W165*AS98</f>
        <v>#DIV/0!</v>
      </c>
      <c r="X166" s="356"/>
      <c r="Y166" s="40"/>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1:52" s="12" customFormat="1" ht="14.4" customHeight="1" thickBot="1" x14ac:dyDescent="0.35">
      <c r="A167" s="1"/>
      <c r="B167" s="1"/>
      <c r="C167" s="1"/>
      <c r="D167" s="209"/>
      <c r="E167" s="1"/>
      <c r="F167" s="1"/>
      <c r="G167" s="1"/>
      <c r="H167" s="1"/>
      <c r="I167" s="2"/>
      <c r="J167" s="1143" t="s">
        <v>280</v>
      </c>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1:52" s="12" customFormat="1" ht="14.4" customHeight="1" thickBot="1" x14ac:dyDescent="0.35">
      <c r="A168" s="1"/>
      <c r="B168" s="42" t="s">
        <v>230</v>
      </c>
      <c r="C168" s="1"/>
      <c r="D168" s="209"/>
      <c r="E168" s="1"/>
      <c r="F168" s="1"/>
      <c r="G168" s="1"/>
      <c r="H168" s="1"/>
      <c r="I168" s="1"/>
      <c r="J168" s="1152" t="s">
        <v>37</v>
      </c>
      <c r="K168" s="530" t="str">
        <f>K55</f>
        <v>Existing Production System</v>
      </c>
      <c r="L168" s="530"/>
      <c r="M168" s="530"/>
      <c r="N168" s="1134"/>
      <c r="O168" s="1181" t="str">
        <f>O104</f>
        <v>1. Floor Feeding</v>
      </c>
      <c r="P168" s="1182"/>
      <c r="Q168" s="1183" t="str">
        <f>Q104</f>
        <v xml:space="preserve">2. Short Stalls </v>
      </c>
      <c r="R168" s="1184"/>
      <c r="S168" s="1185" t="str">
        <f>S104</f>
        <v>3. Trickle Feeding</v>
      </c>
      <c r="T168" s="1186"/>
      <c r="U168" s="1187" t="str">
        <f>U104</f>
        <v>4. Elec Sow Feeding</v>
      </c>
      <c r="V168" s="1188"/>
      <c r="W168" s="1189" t="str">
        <f>W104</f>
        <v>5. Free Access Stalls</v>
      </c>
      <c r="X168" s="1190"/>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1:52" s="12" customFormat="1" ht="14.4" customHeight="1" x14ac:dyDescent="0.3">
      <c r="A169" s="1"/>
      <c r="B169" s="1"/>
      <c r="C169" s="1"/>
      <c r="D169" s="209"/>
      <c r="E169" s="1"/>
      <c r="F169" s="1"/>
      <c r="G169" s="1"/>
      <c r="H169" s="1"/>
      <c r="I169" s="357"/>
      <c r="J169" s="358" t="s">
        <v>284</v>
      </c>
      <c r="K169" s="382" t="e">
        <f>(I29+I32)*I27</f>
        <v>#DIV/0!</v>
      </c>
      <c r="L169" s="557" t="s">
        <v>213</v>
      </c>
      <c r="M169" s="252"/>
      <c r="N169" s="252"/>
      <c r="O169" s="395" t="e">
        <f>(AI29+AI32)*AI27</f>
        <v>#DIV/0!</v>
      </c>
      <c r="P169" s="807" t="s">
        <v>213</v>
      </c>
      <c r="Q169" s="403" t="e">
        <f>(AK29+AK32)*AK27</f>
        <v>#DIV/0!</v>
      </c>
      <c r="R169" s="404" t="s">
        <v>213</v>
      </c>
      <c r="S169" s="417" t="e">
        <f>(AM29+AM32)*AM27</f>
        <v>#DIV/0!</v>
      </c>
      <c r="T169" s="805" t="s">
        <v>213</v>
      </c>
      <c r="U169" s="430" t="e">
        <f>(AO29+AO32)*AO27</f>
        <v>#DIV/0!</v>
      </c>
      <c r="V169" s="813" t="s">
        <v>213</v>
      </c>
      <c r="W169" s="441" t="e">
        <f>(AQ29+AQ32)*AQ27</f>
        <v>#DIV/0!</v>
      </c>
      <c r="X169" s="816" t="s">
        <v>213</v>
      </c>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1:52" s="12" customFormat="1" ht="14.4" customHeight="1" x14ac:dyDescent="0.3">
      <c r="A170" s="1"/>
      <c r="B170" s="1"/>
      <c r="C170" s="1"/>
      <c r="D170" s="209"/>
      <c r="E170" s="1"/>
      <c r="F170" s="1"/>
      <c r="G170" s="1"/>
      <c r="H170" s="1"/>
      <c r="I170" s="359"/>
      <c r="J170" s="380" t="s">
        <v>222</v>
      </c>
      <c r="K170" s="384">
        <v>5</v>
      </c>
      <c r="L170" s="551" t="s">
        <v>43</v>
      </c>
      <c r="M170" s="378"/>
      <c r="N170" s="39"/>
      <c r="O170" s="384">
        <f>K170</f>
        <v>5</v>
      </c>
      <c r="P170" s="799" t="s">
        <v>43</v>
      </c>
      <c r="Q170" s="384">
        <f>K170</f>
        <v>5</v>
      </c>
      <c r="R170" s="405" t="s">
        <v>43</v>
      </c>
      <c r="S170" s="384">
        <f>K170</f>
        <v>5</v>
      </c>
      <c r="T170" s="801" t="s">
        <v>43</v>
      </c>
      <c r="U170" s="384">
        <v>5</v>
      </c>
      <c r="V170" s="803" t="s">
        <v>43</v>
      </c>
      <c r="W170" s="384">
        <f>K170</f>
        <v>5</v>
      </c>
      <c r="X170" s="804" t="s">
        <v>43</v>
      </c>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1:52" s="12" customFormat="1" ht="14.4" customHeight="1" thickBot="1" x14ac:dyDescent="0.35">
      <c r="A171" s="1"/>
      <c r="B171" s="1"/>
      <c r="C171" s="1"/>
      <c r="D171" s="209"/>
      <c r="E171" s="1"/>
      <c r="F171" s="1"/>
      <c r="G171" s="1"/>
      <c r="H171" s="1"/>
      <c r="I171" s="360"/>
      <c r="J171" s="381" t="s">
        <v>82</v>
      </c>
      <c r="K171" s="386" t="e">
        <f>K169*K170</f>
        <v>#DIV/0!</v>
      </c>
      <c r="L171" s="552" t="s">
        <v>43</v>
      </c>
      <c r="M171" s="361"/>
      <c r="N171" s="361"/>
      <c r="O171" s="397" t="e">
        <f>O170*O169</f>
        <v>#DIV/0!</v>
      </c>
      <c r="P171" s="398" t="s">
        <v>43</v>
      </c>
      <c r="Q171" s="406" t="e">
        <f>Q170*Q169</f>
        <v>#DIV/0!</v>
      </c>
      <c r="R171" s="407" t="s">
        <v>43</v>
      </c>
      <c r="S171" s="419" t="e">
        <f>S170*S169</f>
        <v>#DIV/0!</v>
      </c>
      <c r="T171" s="802" t="s">
        <v>43</v>
      </c>
      <c r="U171" s="431" t="e">
        <f>U170*U169</f>
        <v>#DIV/0!</v>
      </c>
      <c r="V171" s="432" t="s">
        <v>43</v>
      </c>
      <c r="W171" s="442" t="e">
        <f>W170*W169</f>
        <v>#DIV/0!</v>
      </c>
      <c r="X171" s="362" t="s">
        <v>43</v>
      </c>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1:52" s="12" customFormat="1" ht="14.4" customHeight="1" x14ac:dyDescent="0.3">
      <c r="A172" s="1"/>
      <c r="B172" s="1"/>
      <c r="C172" s="1"/>
      <c r="D172" s="209"/>
      <c r="E172" s="1"/>
      <c r="F172" s="1"/>
      <c r="G172" s="1"/>
      <c r="H172" s="1"/>
      <c r="I172" s="357"/>
      <c r="J172" s="545" t="s">
        <v>35</v>
      </c>
      <c r="K172" s="388">
        <v>7.4999999999999997E-2</v>
      </c>
      <c r="L172" s="557" t="s">
        <v>236</v>
      </c>
      <c r="M172" s="378"/>
      <c r="N172" s="378"/>
      <c r="O172" s="388">
        <v>0.1</v>
      </c>
      <c r="P172" s="808" t="s">
        <v>236</v>
      </c>
      <c r="Q172" s="388">
        <v>7.4999999999999997E-2</v>
      </c>
      <c r="R172" s="408" t="s">
        <v>236</v>
      </c>
      <c r="S172" s="388">
        <v>7.4999999999999997E-2</v>
      </c>
      <c r="T172" s="806" t="s">
        <v>236</v>
      </c>
      <c r="U172" s="388">
        <v>0.04</v>
      </c>
      <c r="V172" s="814" t="s">
        <v>236</v>
      </c>
      <c r="W172" s="388">
        <v>7.4999999999999997E-2</v>
      </c>
      <c r="X172" s="817" t="s">
        <v>236</v>
      </c>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1:52" s="12" customFormat="1" ht="14.4" customHeight="1" x14ac:dyDescent="0.3">
      <c r="A173" s="1"/>
      <c r="B173" s="1"/>
      <c r="C173" s="1"/>
      <c r="D173" s="209"/>
      <c r="E173" s="1"/>
      <c r="F173" s="1"/>
      <c r="G173" s="1"/>
      <c r="H173" s="1"/>
      <c r="I173" s="359"/>
      <c r="J173" s="546" t="s">
        <v>38</v>
      </c>
      <c r="K173" s="550" t="e">
        <f>K171*(1+K172)</f>
        <v>#DIV/0!</v>
      </c>
      <c r="L173" s="551" t="s">
        <v>43</v>
      </c>
      <c r="M173" s="363"/>
      <c r="N173" s="363"/>
      <c r="O173" s="390" t="e">
        <f>O171*(1+O172)</f>
        <v>#DIV/0!</v>
      </c>
      <c r="P173" s="391" t="s">
        <v>43</v>
      </c>
      <c r="Q173" s="409" t="e">
        <f>Q171*(1+Q172)</f>
        <v>#DIV/0!</v>
      </c>
      <c r="R173" s="410" t="s">
        <v>43</v>
      </c>
      <c r="S173" s="422" t="e">
        <f>S171*(1+S172)</f>
        <v>#DIV/0!</v>
      </c>
      <c r="T173" s="423" t="s">
        <v>43</v>
      </c>
      <c r="U173" s="433" t="e">
        <f>U171*(1+U172)</f>
        <v>#DIV/0!</v>
      </c>
      <c r="V173" s="434" t="s">
        <v>43</v>
      </c>
      <c r="W173" s="443" t="e">
        <f>W171*(1+W172)</f>
        <v>#DIV/0!</v>
      </c>
      <c r="X173" s="364" t="s">
        <v>43</v>
      </c>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1:52" s="12" customFormat="1" ht="14.4" customHeight="1" thickBot="1" x14ac:dyDescent="0.35">
      <c r="A174" s="1"/>
      <c r="B174" s="1"/>
      <c r="C174" s="1"/>
      <c r="D174" s="209"/>
      <c r="E174" s="1"/>
      <c r="F174" s="1"/>
      <c r="G174" s="1"/>
      <c r="H174" s="1"/>
      <c r="I174" s="360"/>
      <c r="J174" s="547" t="s">
        <v>285</v>
      </c>
      <c r="K174" s="325" t="e">
        <f>K173*$I53</f>
        <v>#DIV/0!</v>
      </c>
      <c r="L174" s="552" t="s">
        <v>114</v>
      </c>
      <c r="M174" s="378"/>
      <c r="N174" s="378"/>
      <c r="O174" s="392" t="e">
        <f>O173*$I53</f>
        <v>#DIV/0!</v>
      </c>
      <c r="P174" s="393" t="s">
        <v>114</v>
      </c>
      <c r="Q174" s="411" t="e">
        <f>Q173*$I53</f>
        <v>#DIV/0!</v>
      </c>
      <c r="R174" s="412" t="s">
        <v>114</v>
      </c>
      <c r="S174" s="424" t="e">
        <f>S173*$I53</f>
        <v>#DIV/0!</v>
      </c>
      <c r="T174" s="425" t="s">
        <v>114</v>
      </c>
      <c r="U174" s="435" t="e">
        <f>U173*$I53</f>
        <v>#DIV/0!</v>
      </c>
      <c r="V174" s="436" t="s">
        <v>114</v>
      </c>
      <c r="W174" s="444" t="e">
        <f>W173*$I53</f>
        <v>#DIV/0!</v>
      </c>
      <c r="X174" s="365" t="s">
        <v>114</v>
      </c>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1:52" s="12" customFormat="1" ht="14.4" customHeight="1" thickBot="1" x14ac:dyDescent="0.35">
      <c r="A175" s="1"/>
      <c r="B175" s="1"/>
      <c r="C175" s="1"/>
      <c r="D175" s="209"/>
      <c r="E175" s="1"/>
      <c r="F175" s="1"/>
      <c r="G175" s="1"/>
      <c r="H175" s="1"/>
      <c r="I175" s="366"/>
      <c r="J175" s="548" t="s">
        <v>283</v>
      </c>
      <c r="K175" s="553" t="e">
        <f>K173*K74/2000</f>
        <v>#DIV/0!</v>
      </c>
      <c r="L175" s="554" t="s">
        <v>131</v>
      </c>
      <c r="M175" s="367"/>
      <c r="N175" s="367"/>
      <c r="O175" s="399" t="e">
        <f>O173*AK98/2000</f>
        <v>#DIV/0!</v>
      </c>
      <c r="P175" s="400" t="s">
        <v>131</v>
      </c>
      <c r="Q175" s="413" t="e">
        <f>Q173*AM98/2000</f>
        <v>#DIV/0!</v>
      </c>
      <c r="R175" s="414" t="s">
        <v>131</v>
      </c>
      <c r="S175" s="426" t="e">
        <f>S173*AO98/2000</f>
        <v>#DIV/0!</v>
      </c>
      <c r="T175" s="427" t="s">
        <v>131</v>
      </c>
      <c r="U175" s="437" t="e">
        <f>U173*AQ98/2000</f>
        <v>#DIV/0!</v>
      </c>
      <c r="V175" s="438" t="s">
        <v>131</v>
      </c>
      <c r="W175" s="445" t="e">
        <f>W173*AS98/2000</f>
        <v>#DIV/0!</v>
      </c>
      <c r="X175" s="368" t="s">
        <v>131</v>
      </c>
      <c r="Y175" s="40"/>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1:52" s="12" customFormat="1" ht="14.4" customHeight="1" thickBot="1" x14ac:dyDescent="0.35">
      <c r="A176" s="1"/>
      <c r="B176" s="1"/>
      <c r="C176" s="1"/>
      <c r="D176" s="1"/>
      <c r="E176" s="1"/>
      <c r="F176" s="1"/>
      <c r="G176" s="1"/>
      <c r="H176" s="1"/>
      <c r="I176" s="369"/>
      <c r="J176" s="943" t="s">
        <v>46</v>
      </c>
      <c r="K176" s="555" t="e">
        <f>K175*I53*2000</f>
        <v>#DIV/0!</v>
      </c>
      <c r="L176" s="556"/>
      <c r="M176" s="334"/>
      <c r="N176" s="334"/>
      <c r="O176" s="401" t="e">
        <f>O175*$I53*2000</f>
        <v>#DIV/0!</v>
      </c>
      <c r="P176" s="819"/>
      <c r="Q176" s="415" t="e">
        <f>Q175*$I53*2000</f>
        <v>#DIV/0!</v>
      </c>
      <c r="R176" s="416"/>
      <c r="S176" s="428" t="e">
        <f>S175*$I53*2000</f>
        <v>#DIV/0!</v>
      </c>
      <c r="T176" s="812"/>
      <c r="U176" s="439" t="e">
        <f>U175*$I53*2000</f>
        <v>#DIV/0!</v>
      </c>
      <c r="V176" s="815"/>
      <c r="W176" s="446" t="e">
        <f>W175*$I53*2000</f>
        <v>#DIV/0!</v>
      </c>
      <c r="X176" s="818"/>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1:52" s="12" customFormat="1" ht="14.4" customHeight="1" thickBot="1" x14ac:dyDescent="0.35">
      <c r="A177" s="1"/>
      <c r="B177" s="1"/>
      <c r="C177" s="1"/>
      <c r="D177" s="1"/>
      <c r="E177" s="1"/>
      <c r="F177" s="1"/>
      <c r="G177" s="1"/>
      <c r="H177" s="1"/>
      <c r="I177" s="1"/>
      <c r="J177" s="944" t="s">
        <v>280</v>
      </c>
      <c r="K177" s="945"/>
      <c r="L177" s="946"/>
      <c r="M177" s="38"/>
      <c r="N177" s="1104"/>
      <c r="O177" s="945"/>
      <c r="P177" s="1059"/>
      <c r="Q177" s="945"/>
      <c r="R177" s="1059"/>
      <c r="S177" s="945"/>
      <c r="T177" s="1059"/>
      <c r="U177" s="945"/>
      <c r="V177" s="1059"/>
      <c r="W177" s="945"/>
      <c r="X177" s="1059"/>
      <c r="Y177" s="38"/>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1:52" s="12" customFormat="1" ht="14.4" customHeight="1" thickBot="1" x14ac:dyDescent="0.35">
      <c r="A178" s="1"/>
      <c r="B178" s="42" t="s">
        <v>231</v>
      </c>
      <c r="C178" s="1"/>
      <c r="D178" s="1"/>
      <c r="E178" s="1"/>
      <c r="F178" s="1"/>
      <c r="G178" s="1"/>
      <c r="H178" s="1"/>
      <c r="I178" s="1"/>
      <c r="J178" s="38"/>
      <c r="K178" s="530" t="str">
        <f>K168</f>
        <v>Existing Production System</v>
      </c>
      <c r="L178" s="530"/>
      <c r="M178" s="531"/>
      <c r="N178" s="370"/>
      <c r="O178" s="1181" t="str">
        <f>O168</f>
        <v>1. Floor Feeding</v>
      </c>
      <c r="P178" s="1182"/>
      <c r="Q178" s="1183" t="str">
        <f>Q168</f>
        <v xml:space="preserve">2. Short Stalls </v>
      </c>
      <c r="R178" s="1184"/>
      <c r="S178" s="1185" t="str">
        <f>S168</f>
        <v>3. Trickle Feeding</v>
      </c>
      <c r="T178" s="1186"/>
      <c r="U178" s="1187" t="str">
        <f>U168</f>
        <v>4. Elec Sow Feeding</v>
      </c>
      <c r="V178" s="1188"/>
      <c r="W178" s="1189" t="str">
        <f>W168</f>
        <v>5. Free Access Stalls</v>
      </c>
      <c r="X178" s="1190"/>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1:52" s="12" customFormat="1" ht="14.4" customHeight="1" x14ac:dyDescent="0.3">
      <c r="A179" s="1"/>
      <c r="B179" s="1"/>
      <c r="C179" s="1"/>
      <c r="D179" s="1"/>
      <c r="G179" s="939"/>
      <c r="H179" s="940" t="e">
        <f>K176+K166+K145</f>
        <v>#DIV/0!</v>
      </c>
      <c r="J179" s="966"/>
      <c r="K179" s="966"/>
      <c r="L179" s="967"/>
      <c r="M179" s="968"/>
      <c r="N179" s="1096" t="s">
        <v>290</v>
      </c>
      <c r="O179" s="447" t="e">
        <f>O176+O166+O145</f>
        <v>#DIV/0!</v>
      </c>
      <c r="P179" s="709"/>
      <c r="Q179" s="449" t="e">
        <f>Q176+Q166+Q145</f>
        <v>#DIV/0!</v>
      </c>
      <c r="R179" s="1068"/>
      <c r="S179" s="451" t="e">
        <f>S176+S166+S145</f>
        <v>#DIV/0!</v>
      </c>
      <c r="T179" s="1075"/>
      <c r="U179" s="453" t="e">
        <f>U176+U166+U145</f>
        <v>#DIV/0!</v>
      </c>
      <c r="V179" s="1085"/>
      <c r="W179" s="455" t="e">
        <f>W176+W166+W145</f>
        <v>#DIV/0!</v>
      </c>
      <c r="X179" s="1094"/>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1:52" s="12" customFormat="1" ht="14.4" customHeight="1" thickBot="1" x14ac:dyDescent="0.35">
      <c r="A180" s="1"/>
      <c r="B180" s="1"/>
      <c r="C180" s="1"/>
      <c r="D180" s="1"/>
      <c r="G180" s="939"/>
      <c r="H180" s="940" t="e">
        <f>H179/K58</f>
        <v>#DIV/0!</v>
      </c>
      <c r="J180" s="966"/>
      <c r="K180" s="966"/>
      <c r="L180" s="969"/>
      <c r="M180" s="970"/>
      <c r="N180" s="1096" t="s">
        <v>278</v>
      </c>
      <c r="O180" s="448" t="e">
        <f>O179/AK98</f>
        <v>#DIV/0!</v>
      </c>
      <c r="P180" s="1097" t="s">
        <v>114</v>
      </c>
      <c r="Q180" s="450" t="e">
        <f>Q179/AM98</f>
        <v>#DIV/0!</v>
      </c>
      <c r="R180" s="927" t="s">
        <v>114</v>
      </c>
      <c r="S180" s="452" t="e">
        <f>S179/AO98</f>
        <v>#DIV/0!</v>
      </c>
      <c r="T180" s="928" t="s">
        <v>114</v>
      </c>
      <c r="U180" s="454" t="e">
        <f>U179/AQ98</f>
        <v>#DIV/0!</v>
      </c>
      <c r="V180" s="929" t="s">
        <v>114</v>
      </c>
      <c r="W180" s="456" t="e">
        <f>W179/AS98</f>
        <v>#DIV/0!</v>
      </c>
      <c r="X180" s="930" t="s">
        <v>114</v>
      </c>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1:52" s="12" customFormat="1" ht="16.05" customHeight="1" thickBot="1" x14ac:dyDescent="0.35">
      <c r="A181" s="1"/>
      <c r="B181" s="1"/>
      <c r="C181" s="1"/>
      <c r="D181" s="1"/>
      <c r="J181" s="938"/>
      <c r="K181" s="937"/>
      <c r="L181" s="937"/>
      <c r="M181" s="937"/>
      <c r="N181" s="1095" t="s">
        <v>277</v>
      </c>
      <c r="O181" s="1099" t="e">
        <f>O179/O102</f>
        <v>#DIV/0!</v>
      </c>
      <c r="P181" s="1103" t="s">
        <v>114</v>
      </c>
      <c r="Q181" s="1101" t="e">
        <f>Q179/Q102</f>
        <v>#DIV/0!</v>
      </c>
      <c r="R181" s="1100" t="s">
        <v>114</v>
      </c>
      <c r="S181" s="971" t="e">
        <f>S179/S102</f>
        <v>#DIV/0!</v>
      </c>
      <c r="T181" s="924" t="s">
        <v>114</v>
      </c>
      <c r="U181" s="972" t="e">
        <f>U179/U102</f>
        <v>#DIV/0!</v>
      </c>
      <c r="V181" s="925" t="s">
        <v>114</v>
      </c>
      <c r="W181" s="973" t="e">
        <f>W179/W102</f>
        <v>#DIV/0!</v>
      </c>
      <c r="X181" s="926" t="s">
        <v>114</v>
      </c>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1:52" s="12" customFormat="1" ht="16.05" customHeight="1" thickBot="1" x14ac:dyDescent="0.35">
      <c r="A182" s="1"/>
      <c r="B182" s="1"/>
      <c r="C182" s="1"/>
      <c r="D182" s="1"/>
      <c r="G182" s="933"/>
      <c r="H182" s="933"/>
      <c r="I182" s="934"/>
      <c r="J182" s="935" t="s">
        <v>292</v>
      </c>
      <c r="K182" s="941" t="e">
        <f>H179/K61</f>
        <v>#DIV/0!</v>
      </c>
      <c r="L182" s="936" t="s">
        <v>114</v>
      </c>
      <c r="M182" s="1110"/>
      <c r="N182" s="1110"/>
      <c r="O182" s="1105" t="e">
        <f>O181+$K146</f>
        <v>#DIV/0!</v>
      </c>
      <c r="P182" s="1106" t="s">
        <v>114</v>
      </c>
      <c r="Q182" s="1105" t="e">
        <f>Q181+$K146</f>
        <v>#DIV/0!</v>
      </c>
      <c r="R182" s="1107" t="s">
        <v>114</v>
      </c>
      <c r="S182" s="1108" t="e">
        <f>S181+$K146</f>
        <v>#DIV/0!</v>
      </c>
      <c r="T182" s="1109" t="s">
        <v>114</v>
      </c>
      <c r="U182" s="1108" t="e">
        <f>U181+$K146</f>
        <v>#DIV/0!</v>
      </c>
      <c r="V182" s="1109" t="s">
        <v>114</v>
      </c>
      <c r="W182" s="1108" t="e">
        <f>W181+$K146</f>
        <v>#DIV/0!</v>
      </c>
      <c r="X182" s="1109" t="s">
        <v>114</v>
      </c>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1:52" s="12" customFormat="1" ht="16.05" customHeight="1" thickBot="1" x14ac:dyDescent="0.35">
      <c r="A183" s="1"/>
      <c r="B183" s="1"/>
      <c r="C183" s="1"/>
      <c r="D183" s="1"/>
      <c r="G183" s="931"/>
      <c r="H183" s="932"/>
      <c r="I183" s="932"/>
      <c r="J183" s="932"/>
      <c r="K183" s="932"/>
      <c r="L183" s="932"/>
      <c r="M183" s="932"/>
      <c r="N183" s="1116" t="s">
        <v>279</v>
      </c>
      <c r="O183" s="1115" t="e">
        <f>O182-K182</f>
        <v>#DIV/0!</v>
      </c>
      <c r="P183" s="1098" t="s">
        <v>114</v>
      </c>
      <c r="Q183" s="1101" t="e">
        <f>Q182-K182</f>
        <v>#DIV/0!</v>
      </c>
      <c r="R183" s="1100" t="s">
        <v>114</v>
      </c>
      <c r="S183" s="1102" t="e">
        <f>S182-K182</f>
        <v>#DIV/0!</v>
      </c>
      <c r="T183" s="924" t="s">
        <v>114</v>
      </c>
      <c r="U183" s="972" t="e">
        <f>U182-K182</f>
        <v>#DIV/0!</v>
      </c>
      <c r="V183" s="925" t="s">
        <v>114</v>
      </c>
      <c r="W183" s="973" t="e">
        <f>W182-K182</f>
        <v>#DIV/0!</v>
      </c>
      <c r="X183" s="926" t="s">
        <v>114</v>
      </c>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1:52" s="12" customFormat="1" ht="14.4"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1:52" s="12" customFormat="1" ht="14.4" customHeight="1" x14ac:dyDescent="0.3">
      <c r="A185" s="1"/>
      <c r="B185" s="1"/>
      <c r="C185" s="1"/>
      <c r="D185" s="1"/>
      <c r="E185" s="1"/>
      <c r="F185" s="1" t="s">
        <v>293</v>
      </c>
      <c r="G185" s="1"/>
      <c r="H185" s="1"/>
      <c r="K185" s="1"/>
      <c r="L185" s="1"/>
      <c r="M185" s="1"/>
      <c r="N185" s="1"/>
      <c r="O185" s="213"/>
      <c r="P185" s="213"/>
      <c r="Q185" s="213"/>
      <c r="R185" s="213"/>
      <c r="S185" s="1118">
        <f>K146</f>
        <v>0</v>
      </c>
      <c r="T185" s="1117"/>
      <c r="V185" s="213"/>
      <c r="W185" s="213"/>
      <c r="X185" s="213"/>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1:52" s="12" customFormat="1" ht="14.4" customHeight="1" x14ac:dyDescent="0.3">
      <c r="A186" s="1"/>
      <c r="B186" s="1"/>
      <c r="C186" s="1"/>
      <c r="D186" s="1"/>
      <c r="E186" s="1"/>
      <c r="F186" s="1"/>
      <c r="G186" s="40"/>
      <c r="H186" s="40"/>
      <c r="I186" s="372"/>
      <c r="J186" s="1"/>
      <c r="K186" s="371"/>
      <c r="L186" s="371"/>
      <c r="M186" s="211"/>
      <c r="O186" s="372"/>
      <c r="P186" s="371"/>
      <c r="Q186" s="374"/>
      <c r="R186" s="371"/>
      <c r="S186" s="371"/>
      <c r="T186" s="371"/>
      <c r="U186" s="211"/>
      <c r="V186" s="371"/>
      <c r="W186" s="371"/>
      <c r="X186" s="371"/>
      <c r="Y186" s="37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1:52" s="12" customFormat="1" ht="15.6" x14ac:dyDescent="0.3">
      <c r="A187" s="1"/>
      <c r="B187" s="1"/>
      <c r="C187" s="1"/>
      <c r="D187" s="1"/>
      <c r="E187" s="1"/>
      <c r="F187" s="1"/>
      <c r="G187" s="40"/>
      <c r="H187" s="40"/>
      <c r="I187" s="40"/>
      <c r="J187" s="371"/>
      <c r="K187" s="371"/>
      <c r="L187" s="371"/>
      <c r="M187" s="372"/>
      <c r="N187" s="1"/>
      <c r="O187" s="372"/>
      <c r="P187" s="371"/>
      <c r="Q187" s="371"/>
      <c r="R187" s="371"/>
      <c r="S187" s="371"/>
      <c r="T187" s="371"/>
      <c r="U187" s="371"/>
      <c r="V187" s="371"/>
      <c r="W187" s="371"/>
      <c r="X187" s="371"/>
      <c r="Y187" s="37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1:52" s="12" customFormat="1" ht="15.6" x14ac:dyDescent="0.3">
      <c r="A188" s="1"/>
      <c r="B188" s="1"/>
      <c r="C188" s="1"/>
      <c r="D188" s="1"/>
      <c r="E188" s="1"/>
      <c r="F188" s="1"/>
      <c r="G188" s="40"/>
      <c r="H188" s="40"/>
      <c r="I188" s="40"/>
      <c r="J188" s="371"/>
      <c r="K188" s="371"/>
      <c r="L188" s="371"/>
      <c r="M188" s="211"/>
      <c r="N188" s="1"/>
      <c r="O188" s="371"/>
      <c r="P188" s="371"/>
      <c r="Q188" s="371"/>
      <c r="R188" s="371"/>
      <c r="S188" s="371"/>
      <c r="T188" s="371"/>
      <c r="U188" s="371"/>
      <c r="V188" s="371"/>
      <c r="W188" s="371"/>
      <c r="X188" s="371"/>
      <c r="Y188" s="37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1:52" s="12" customFormat="1" ht="15.6" x14ac:dyDescent="0.3">
      <c r="M189" s="373"/>
      <c r="N189" s="1"/>
      <c r="AH189" s="1"/>
      <c r="AI189" s="1"/>
      <c r="AJ189" s="1"/>
      <c r="AK189" s="1"/>
      <c r="AL189" s="1"/>
      <c r="AM189" s="1"/>
      <c r="AN189" s="1"/>
      <c r="AO189" s="1"/>
      <c r="AP189" s="1"/>
      <c r="AQ189" s="1"/>
      <c r="AR189" s="1"/>
      <c r="AS189" s="1"/>
      <c r="AT189" s="1"/>
    </row>
    <row r="190" spans="1:52" s="12" customFormat="1" ht="15.6" x14ac:dyDescent="0.3">
      <c r="M190" s="374"/>
      <c r="AH190" s="1"/>
      <c r="AI190" s="1"/>
      <c r="AJ190" s="1"/>
      <c r="AK190" s="1"/>
      <c r="AL190" s="1"/>
      <c r="AM190" s="1"/>
      <c r="AN190" s="1"/>
      <c r="AO190" s="1"/>
      <c r="AP190" s="1"/>
      <c r="AQ190" s="1"/>
      <c r="AR190" s="1"/>
      <c r="AS190" s="1"/>
      <c r="AT190" s="1"/>
    </row>
    <row r="191" spans="1:52" s="12" customFormat="1" x14ac:dyDescent="0.3">
      <c r="M191" s="375"/>
    </row>
    <row r="192" spans="1:52" s="12" customFormat="1" ht="15.6" x14ac:dyDescent="0.3">
      <c r="M192" s="211"/>
      <c r="N192" s="1"/>
    </row>
    <row r="193" spans="13:14" s="12" customFormat="1" ht="15.6" x14ac:dyDescent="0.3">
      <c r="M193" s="373"/>
      <c r="N193" s="1"/>
    </row>
    <row r="194" spans="13:14" s="12" customFormat="1" x14ac:dyDescent="0.3"/>
    <row r="195" spans="13:14" s="12" customFormat="1" x14ac:dyDescent="0.3"/>
    <row r="196" spans="13:14" s="12" customFormat="1" x14ac:dyDescent="0.3"/>
    <row r="197" spans="13:14" s="12" customFormat="1" x14ac:dyDescent="0.3"/>
    <row r="198" spans="13:14" s="12" customFormat="1" x14ac:dyDescent="0.3"/>
    <row r="199" spans="13:14" s="12" customFormat="1" x14ac:dyDescent="0.3"/>
    <row r="200" spans="13:14" s="12" customFormat="1" x14ac:dyDescent="0.3"/>
  </sheetData>
  <sheetProtection password="9009" sheet="1" objects="1" scenarios="1"/>
  <mergeCells count="21">
    <mergeCell ref="I146:J146"/>
    <mergeCell ref="G164:I164"/>
    <mergeCell ref="H123:J123"/>
    <mergeCell ref="H124:J124"/>
    <mergeCell ref="H129:J129"/>
    <mergeCell ref="H130:J130"/>
    <mergeCell ref="H132:J132"/>
    <mergeCell ref="G163:I163"/>
    <mergeCell ref="W56:X56"/>
    <mergeCell ref="E89:I89"/>
    <mergeCell ref="E90:I91"/>
    <mergeCell ref="J92:S92"/>
    <mergeCell ref="H116:J116"/>
    <mergeCell ref="S56:T56"/>
    <mergeCell ref="U56:V56"/>
    <mergeCell ref="A104:J106"/>
    <mergeCell ref="H122:J122"/>
    <mergeCell ref="I17:K17"/>
    <mergeCell ref="I18:K18"/>
    <mergeCell ref="O56:P56"/>
    <mergeCell ref="Q56:R56"/>
  </mergeCells>
  <pageMargins left="0.25" right="0.25" top="0.75" bottom="0.75" header="0.3" footer="0.3"/>
  <pageSetup scale="57" fitToHeight="0" orientation="portrait" r:id="rId1"/>
  <rowBreaks count="2" manualBreakCount="2">
    <brk id="75" max="23" man="1"/>
    <brk id="10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List Box 1">
              <controlPr locked="0" defaultSize="0" autoLine="0" autoPict="0">
                <anchor moveWithCells="1">
                  <from>
                    <xdr:col>9</xdr:col>
                    <xdr:colOff>7620</xdr:colOff>
                    <xdr:row>88</xdr:row>
                    <xdr:rowOff>0</xdr:rowOff>
                  </from>
                  <to>
                    <xdr:col>14</xdr:col>
                    <xdr:colOff>0</xdr:colOff>
                    <xdr:row>91</xdr:row>
                    <xdr:rowOff>7620</xdr:rowOff>
                  </to>
                </anchor>
              </controlPr>
            </control>
          </mc:Choice>
        </mc:AlternateContent>
        <mc:AlternateContent xmlns:mc="http://schemas.openxmlformats.org/markup-compatibility/2006">
          <mc:Choice Requires="x14">
            <control shapeId="12290" r:id="rId5" name="Check Box 2">
              <controlPr locked="0" defaultSize="0" autoFill="0" autoLine="0" autoPict="0" altText="YES">
                <anchor moveWithCells="1">
                  <from>
                    <xdr:col>4</xdr:col>
                    <xdr:colOff>182880</xdr:colOff>
                    <xdr:row>94</xdr:row>
                    <xdr:rowOff>0</xdr:rowOff>
                  </from>
                  <to>
                    <xdr:col>5</xdr:col>
                    <xdr:colOff>0</xdr:colOff>
                    <xdr:row>95</xdr:row>
                    <xdr:rowOff>7620</xdr:rowOff>
                  </to>
                </anchor>
              </controlPr>
            </control>
          </mc:Choice>
        </mc:AlternateContent>
        <mc:AlternateContent xmlns:mc="http://schemas.openxmlformats.org/markup-compatibility/2006">
          <mc:Choice Requires="x14">
            <control shapeId="12291" r:id="rId6" name="Check Box 3">
              <controlPr locked="0" defaultSize="0" autoFill="0" autoLine="0" autoPict="0" altText="YES">
                <anchor moveWithCells="1">
                  <from>
                    <xdr:col>4</xdr:col>
                    <xdr:colOff>182880</xdr:colOff>
                    <xdr:row>95</xdr:row>
                    <xdr:rowOff>0</xdr:rowOff>
                  </from>
                  <to>
                    <xdr:col>4</xdr:col>
                    <xdr:colOff>617220</xdr:colOff>
                    <xdr:row>96</xdr:row>
                    <xdr:rowOff>7620</xdr:rowOff>
                  </to>
                </anchor>
              </controlPr>
            </control>
          </mc:Choice>
        </mc:AlternateContent>
        <mc:AlternateContent xmlns:mc="http://schemas.openxmlformats.org/markup-compatibility/2006">
          <mc:Choice Requires="x14">
            <control shapeId="12292" r:id="rId7" name="Check Box 4">
              <controlPr locked="0" defaultSize="0" autoFill="0" autoLine="0" autoPict="0" altText="YES">
                <anchor moveWithCells="1">
                  <from>
                    <xdr:col>4</xdr:col>
                    <xdr:colOff>182880</xdr:colOff>
                    <xdr:row>96</xdr:row>
                    <xdr:rowOff>22860</xdr:rowOff>
                  </from>
                  <to>
                    <xdr:col>4</xdr:col>
                    <xdr:colOff>617220</xdr:colOff>
                    <xdr:row>97</xdr:row>
                    <xdr:rowOff>30480</xdr:rowOff>
                  </to>
                </anchor>
              </controlPr>
            </control>
          </mc:Choice>
        </mc:AlternateContent>
        <mc:AlternateContent xmlns:mc="http://schemas.openxmlformats.org/markup-compatibility/2006">
          <mc:Choice Requires="x14">
            <control shapeId="12293" r:id="rId8" name="Check Box 5">
              <controlPr locked="0" defaultSize="0" autoFill="0" autoLine="0" autoPict="0" altText="Use Farm Ration Cost per pound_x000a_">
                <anchor moveWithCells="1">
                  <from>
                    <xdr:col>8</xdr:col>
                    <xdr:colOff>15240</xdr:colOff>
                    <xdr:row>50</xdr:row>
                    <xdr:rowOff>38100</xdr:rowOff>
                  </from>
                  <to>
                    <xdr:col>10</xdr:col>
                    <xdr:colOff>0</xdr:colOff>
                    <xdr:row>51</xdr:row>
                    <xdr:rowOff>129540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Z200"/>
  <sheetViews>
    <sheetView view="pageBreakPreview" zoomScaleNormal="100" zoomScaleSheetLayoutView="100" workbookViewId="0">
      <selection activeCell="P1" sqref="P1"/>
    </sheetView>
  </sheetViews>
  <sheetFormatPr defaultRowHeight="14.4" x14ac:dyDescent="0.3"/>
  <cols>
    <col min="1" max="4" width="2.77734375" customWidth="1"/>
    <col min="5" max="5" width="9.109375" customWidth="1"/>
    <col min="6" max="8" width="2.77734375" customWidth="1"/>
    <col min="9" max="9" width="11.77734375" customWidth="1"/>
    <col min="10" max="10" width="15.77734375" customWidth="1"/>
    <col min="11" max="11" width="12.77734375" customWidth="1"/>
    <col min="12" max="12" width="4.77734375" customWidth="1"/>
    <col min="13" max="13" width="9.77734375" customWidth="1"/>
    <col min="14" max="14" width="4.77734375" customWidth="1"/>
    <col min="15" max="15" width="12.77734375" customWidth="1"/>
    <col min="16" max="16" width="4.77734375" customWidth="1"/>
    <col min="17" max="17" width="12.77734375" customWidth="1"/>
    <col min="18" max="18" width="4.77734375" customWidth="1"/>
    <col min="19" max="19" width="12.77734375" customWidth="1"/>
    <col min="20" max="20" width="4.77734375" customWidth="1"/>
    <col min="21" max="21" width="12.77734375" customWidth="1"/>
    <col min="22" max="22" width="4.77734375" customWidth="1"/>
    <col min="23" max="23" width="12.77734375" customWidth="1"/>
    <col min="24" max="24" width="4.77734375" customWidth="1"/>
    <col min="25" max="26" width="12.77734375" customWidth="1"/>
    <col min="27" max="33" width="8.88671875" hidden="1" customWidth="1"/>
    <col min="34" max="34" width="12.77734375" hidden="1" customWidth="1"/>
    <col min="35" max="36" width="8.88671875" hidden="1" customWidth="1"/>
    <col min="37" max="37" width="12.77734375" hidden="1" customWidth="1"/>
    <col min="38" max="38" width="2.77734375" hidden="1" customWidth="1"/>
    <col min="39" max="39" width="12.77734375" hidden="1" customWidth="1"/>
    <col min="40" max="40" width="2.77734375" hidden="1" customWidth="1"/>
    <col min="41" max="41" width="12.77734375" hidden="1" customWidth="1"/>
    <col min="42" max="42" width="2.77734375" hidden="1" customWidth="1"/>
    <col min="43" max="43" width="12.77734375" hidden="1" customWidth="1"/>
    <col min="44" max="44" width="2.77734375" hidden="1" customWidth="1"/>
    <col min="45" max="45" width="12.77734375" hidden="1" customWidth="1"/>
    <col min="46" max="46" width="2.77734375" hidden="1" customWidth="1"/>
    <col min="47" max="52" width="8.88671875" hidden="1" customWidth="1"/>
  </cols>
  <sheetData>
    <row r="1" spans="1:52" ht="2.4" customHeight="1" x14ac:dyDescent="0.3"/>
    <row r="2" spans="1:52" s="12" customFormat="1" ht="21" customHeight="1" x14ac:dyDescent="0.3">
      <c r="A2" s="1"/>
      <c r="B2" s="1"/>
      <c r="C2" s="1"/>
      <c r="D2" s="1"/>
      <c r="E2" s="1"/>
      <c r="F2" s="1"/>
      <c r="G2" s="1"/>
      <c r="H2" s="1"/>
      <c r="I2" s="1"/>
      <c r="J2" s="1"/>
      <c r="K2" s="1"/>
      <c r="L2" s="37"/>
      <c r="M2" s="39"/>
      <c r="N2" s="39"/>
      <c r="O2" s="22"/>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12" customFormat="1" ht="14.4" customHeight="1" x14ac:dyDescent="0.3">
      <c r="A3" s="1"/>
      <c r="B3" s="1"/>
      <c r="C3" s="1"/>
      <c r="D3" s="1"/>
      <c r="E3" s="1"/>
      <c r="F3" s="1"/>
      <c r="G3" s="1"/>
      <c r="H3" s="1"/>
      <c r="I3" s="1"/>
      <c r="J3" s="1"/>
      <c r="K3" s="1"/>
      <c r="L3" s="37"/>
      <c r="M3" s="39"/>
      <c r="N3" s="39"/>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s="12" customFormat="1" ht="14.4" customHeight="1" x14ac:dyDescent="0.3">
      <c r="A4" s="1"/>
      <c r="B4" s="1"/>
      <c r="C4" s="1"/>
      <c r="D4" s="1"/>
      <c r="E4" s="1"/>
      <c r="F4" s="1"/>
      <c r="G4" s="1"/>
      <c r="H4" s="1"/>
      <c r="I4" s="1"/>
      <c r="J4" s="1"/>
      <c r="K4" s="1"/>
      <c r="L4" s="37"/>
      <c r="M4" s="39"/>
      <c r="N4" s="39"/>
      <c r="O4" s="22"/>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s="12" customFormat="1" ht="14.4" customHeight="1" x14ac:dyDescent="0.3">
      <c r="A5" s="1"/>
      <c r="B5" s="1"/>
      <c r="C5" s="1"/>
      <c r="D5" s="1"/>
      <c r="E5" s="36"/>
      <c r="F5" s="36" t="s">
        <v>95</v>
      </c>
      <c r="G5" s="1"/>
      <c r="H5" s="1"/>
      <c r="I5" s="1"/>
      <c r="J5" s="1"/>
      <c r="K5" s="1"/>
      <c r="L5" s="37"/>
      <c r="M5" s="39"/>
      <c r="N5" s="39"/>
      <c r="O5" s="22"/>
      <c r="P5" s="1"/>
      <c r="Q5" s="40"/>
      <c r="R5" s="40"/>
      <c r="S5" s="40"/>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s="12" customFormat="1" ht="14.4" customHeight="1" x14ac:dyDescent="0.3">
      <c r="A6" s="1"/>
      <c r="B6" s="1"/>
      <c r="C6" s="1"/>
      <c r="D6" s="1"/>
      <c r="E6" s="1"/>
      <c r="F6" s="1"/>
      <c r="G6" s="1"/>
      <c r="H6" s="1"/>
      <c r="I6" s="1" t="s">
        <v>141</v>
      </c>
      <c r="J6" s="1" t="s">
        <v>142</v>
      </c>
      <c r="K6" s="1"/>
      <c r="L6" s="37"/>
      <c r="M6" s="39"/>
      <c r="N6" s="39"/>
      <c r="O6" s="22"/>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12" customFormat="1" ht="14.4" customHeight="1" x14ac:dyDescent="0.3">
      <c r="A7" s="1"/>
      <c r="B7" s="1"/>
      <c r="C7" s="1"/>
      <c r="D7" s="1"/>
      <c r="E7" s="1"/>
      <c r="F7" s="1"/>
      <c r="G7" s="1"/>
      <c r="H7" s="1"/>
      <c r="I7" s="1" t="s">
        <v>47</v>
      </c>
      <c r="J7" s="1" t="s">
        <v>143</v>
      </c>
      <c r="K7" s="1"/>
      <c r="L7" s="37"/>
      <c r="M7" s="39"/>
      <c r="N7" s="39"/>
      <c r="O7" s="22"/>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s="12" customFormat="1" ht="14.4" customHeight="1" x14ac:dyDescent="0.3">
      <c r="A8" s="1"/>
      <c r="B8" s="1"/>
      <c r="C8" s="1"/>
      <c r="D8" s="1"/>
      <c r="E8" s="1"/>
      <c r="F8" s="1"/>
      <c r="G8" s="1"/>
      <c r="H8" s="1"/>
      <c r="I8" s="1" t="s">
        <v>48</v>
      </c>
      <c r="J8" s="1" t="s">
        <v>192</v>
      </c>
      <c r="K8" s="1"/>
      <c r="L8" s="37"/>
      <c r="M8" s="39"/>
      <c r="N8" s="39"/>
      <c r="O8" s="22"/>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s="12" customFormat="1" ht="14.4" customHeight="1" x14ac:dyDescent="0.3">
      <c r="A9" s="1"/>
      <c r="B9" s="1"/>
      <c r="C9" s="1"/>
      <c r="D9" s="1"/>
      <c r="E9" s="1"/>
      <c r="F9" s="1"/>
      <c r="G9" s="1"/>
      <c r="H9" s="1"/>
      <c r="I9" s="1" t="s">
        <v>216</v>
      </c>
      <c r="J9" s="1"/>
      <c r="K9" s="1"/>
      <c r="L9" s="37"/>
      <c r="M9" s="39"/>
      <c r="N9" s="39"/>
      <c r="O9" s="22"/>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12" customFormat="1" ht="14.4" customHeight="1" x14ac:dyDescent="0.3">
      <c r="A10" s="1"/>
      <c r="B10" s="1"/>
      <c r="C10" s="1"/>
      <c r="D10" s="1"/>
      <c r="E10" s="1"/>
      <c r="F10" s="1"/>
      <c r="G10" s="1"/>
      <c r="H10" s="1"/>
      <c r="I10" s="1"/>
      <c r="J10" s="1"/>
      <c r="K10" s="1"/>
      <c r="L10" s="37"/>
      <c r="M10" s="39"/>
      <c r="N10" s="39"/>
      <c r="O10" s="22"/>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s="12" customFormat="1" ht="14.4" customHeight="1" x14ac:dyDescent="0.3">
      <c r="A11" s="1"/>
      <c r="B11" s="1"/>
      <c r="C11" s="1"/>
      <c r="D11" s="1"/>
      <c r="E11" s="1"/>
      <c r="F11" s="1"/>
      <c r="G11" s="1"/>
      <c r="H11" s="1"/>
      <c r="I11" s="1" t="s">
        <v>294</v>
      </c>
      <c r="J11" s="1"/>
      <c r="K11" s="1"/>
      <c r="L11" s="37"/>
      <c r="M11" s="39"/>
      <c r="N11" s="39"/>
      <c r="O11" s="22"/>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s="12" customFormat="1" ht="14.4" customHeight="1" x14ac:dyDescent="0.3">
      <c r="A12" s="1"/>
      <c r="B12" s="1"/>
      <c r="C12" s="1"/>
      <c r="D12" s="1"/>
      <c r="E12" s="1"/>
      <c r="F12" s="1"/>
      <c r="G12" s="1"/>
      <c r="H12" s="1"/>
      <c r="I12" s="1"/>
      <c r="J12" s="1"/>
      <c r="K12" s="1"/>
      <c r="L12" s="37"/>
      <c r="M12" s="39"/>
      <c r="N12" s="39"/>
      <c r="O12" s="22"/>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s="12" customFormat="1" ht="14.4" customHeight="1" x14ac:dyDescent="0.3">
      <c r="A13" s="1"/>
      <c r="B13" s="1"/>
      <c r="C13" s="1"/>
      <c r="D13" s="1"/>
      <c r="E13" s="1"/>
      <c r="F13" s="1"/>
      <c r="G13" s="1"/>
      <c r="H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s="12" customFormat="1" ht="14.4" customHeight="1" x14ac:dyDescent="0.3">
      <c r="A14" s="1"/>
      <c r="B14" s="1"/>
      <c r="C14" s="1"/>
      <c r="D14" s="1"/>
      <c r="E14" s="1"/>
      <c r="F14" s="1"/>
      <c r="G14" s="1"/>
      <c r="H14" s="1"/>
      <c r="I14" s="1224" t="s">
        <v>234</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s="12" customFormat="1" ht="14.4"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s="12" customFormat="1" ht="14.4" customHeight="1" x14ac:dyDescent="0.3">
      <c r="A16" s="1"/>
      <c r="B16" s="1"/>
      <c r="C16" s="1"/>
      <c r="D16" s="1"/>
      <c r="E16" s="1"/>
      <c r="G16" s="1"/>
      <c r="H16" s="38" t="s">
        <v>1</v>
      </c>
      <c r="I16" s="4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s="12" customFormat="1" ht="14.4" customHeight="1" x14ac:dyDescent="0.3">
      <c r="A17" s="1"/>
      <c r="B17" s="1"/>
      <c r="C17" s="1"/>
      <c r="D17" s="1"/>
      <c r="E17" s="1"/>
      <c r="G17" s="1"/>
      <c r="H17" s="38" t="s">
        <v>2</v>
      </c>
      <c r="I17" s="1309"/>
      <c r="J17" s="1310"/>
      <c r="K17" s="1311"/>
      <c r="L17" s="37"/>
      <c r="M17" s="39"/>
      <c r="N17" s="39"/>
      <c r="O17" s="22"/>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s="12" customFormat="1" ht="14.4" customHeight="1" x14ac:dyDescent="0.3">
      <c r="A18" s="1"/>
      <c r="B18" s="1"/>
      <c r="C18" s="1"/>
      <c r="D18" s="1"/>
      <c r="E18" s="1"/>
      <c r="G18" s="1"/>
      <c r="H18" s="38" t="s">
        <v>232</v>
      </c>
      <c r="I18" s="1309"/>
      <c r="J18" s="1310"/>
      <c r="K18" s="1311"/>
      <c r="L18" s="37"/>
      <c r="M18" s="39"/>
      <c r="N18" s="39"/>
      <c r="O18" s="22"/>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s="12" customFormat="1" ht="14.4" customHeight="1" x14ac:dyDescent="0.3">
      <c r="A19" s="1"/>
      <c r="B19" s="1"/>
      <c r="C19" s="1"/>
      <c r="D19" s="1"/>
      <c r="E19" s="1"/>
      <c r="F19" s="1"/>
      <c r="G19" s="1"/>
      <c r="H19" s="1"/>
      <c r="J19" s="1"/>
      <c r="K19" s="1"/>
      <c r="L19" s="1"/>
      <c r="M19" s="38"/>
      <c r="N19" s="38"/>
      <c r="Y19" s="22"/>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s="12" customFormat="1" ht="14.4" customHeight="1" x14ac:dyDescent="0.3">
      <c r="A20" s="1"/>
      <c r="B20" s="42" t="s">
        <v>223</v>
      </c>
      <c r="C20" s="1"/>
      <c r="D20" s="43"/>
      <c r="E20" s="43"/>
      <c r="F20" s="43"/>
      <c r="G20" s="43"/>
      <c r="H20" s="1"/>
      <c r="I20" s="1"/>
      <c r="J20" s="1"/>
      <c r="K20" s="1"/>
      <c r="L20" s="37"/>
      <c r="M20" s="38"/>
      <c r="N20" s="38"/>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s="12" customFormat="1" ht="14.4" customHeight="1" x14ac:dyDescent="0.3">
      <c r="A21" s="1"/>
      <c r="B21" s="1"/>
      <c r="C21" s="1"/>
      <c r="D21" s="43"/>
      <c r="E21" s="43"/>
      <c r="F21" s="43"/>
      <c r="G21" s="43"/>
      <c r="H21" s="1" t="s">
        <v>194</v>
      </c>
      <c r="I21" s="44"/>
      <c r="J21" s="45" t="s">
        <v>193</v>
      </c>
      <c r="K21" s="46"/>
      <c r="L21" s="47"/>
      <c r="M21" s="48"/>
      <c r="N21" s="49"/>
      <c r="Y21" s="1"/>
      <c r="Z21" s="1"/>
      <c r="AA21" s="1"/>
      <c r="AB21" s="1"/>
      <c r="AC21" s="1"/>
      <c r="AD21" s="1"/>
      <c r="AE21" s="1"/>
      <c r="AF21" s="1"/>
      <c r="AG21" s="1"/>
      <c r="AH21" s="1"/>
      <c r="AI21" s="50" t="e">
        <f>O58</f>
        <v>#DIV/0!</v>
      </c>
      <c r="AJ21" s="50"/>
      <c r="AK21" s="51" t="e">
        <f>Q58</f>
        <v>#DIV/0!</v>
      </c>
      <c r="AL21" s="51"/>
      <c r="AM21" s="52" t="e">
        <f>S58</f>
        <v>#DIV/0!</v>
      </c>
      <c r="AN21" s="52"/>
      <c r="AO21" s="53" t="e">
        <f>U58</f>
        <v>#DIV/0!</v>
      </c>
      <c r="AP21" s="53"/>
      <c r="AQ21" s="54" t="e">
        <f>W58</f>
        <v>#DIV/0!</v>
      </c>
      <c r="AR21" s="55"/>
      <c r="AS21" s="1"/>
      <c r="AT21" s="1"/>
      <c r="AU21" s="1"/>
      <c r="AV21" s="1"/>
      <c r="AW21" s="1"/>
      <c r="AX21" s="1"/>
      <c r="AY21" s="1"/>
      <c r="AZ21" s="1"/>
    </row>
    <row r="22" spans="1:52" s="12" customFormat="1" ht="14.4" customHeight="1" x14ac:dyDescent="0.3">
      <c r="A22" s="1"/>
      <c r="B22" s="1"/>
      <c r="C22" s="1"/>
      <c r="D22" s="43"/>
      <c r="E22" s="43"/>
      <c r="F22" s="43"/>
      <c r="G22" s="43"/>
      <c r="H22" s="1" t="s">
        <v>195</v>
      </c>
      <c r="I22" s="44"/>
      <c r="J22" s="56" t="s">
        <v>75</v>
      </c>
      <c r="K22" s="22"/>
      <c r="L22" s="57"/>
      <c r="M22" s="39"/>
      <c r="N22" s="58"/>
      <c r="Y22" s="1"/>
      <c r="Z22" s="1"/>
      <c r="AA22" s="1"/>
      <c r="AB22" s="1"/>
      <c r="AC22" s="1"/>
      <c r="AD22" s="1"/>
      <c r="AE22" s="1"/>
      <c r="AF22" s="1"/>
      <c r="AG22" s="1"/>
      <c r="AH22" s="1"/>
      <c r="AI22" s="59">
        <f>O61</f>
        <v>0</v>
      </c>
      <c r="AJ22" s="60"/>
      <c r="AK22" s="61">
        <f>Q61</f>
        <v>0</v>
      </c>
      <c r="AL22" s="62"/>
      <c r="AM22" s="63">
        <f>S61</f>
        <v>0</v>
      </c>
      <c r="AN22" s="64"/>
      <c r="AO22" s="65">
        <f>U61</f>
        <v>0</v>
      </c>
      <c r="AP22" s="66"/>
      <c r="AQ22" s="67">
        <f>W61</f>
        <v>0</v>
      </c>
      <c r="AR22" s="68"/>
      <c r="AS22" s="1"/>
      <c r="AT22" s="1"/>
      <c r="AU22" s="1"/>
      <c r="AV22" s="1"/>
      <c r="AW22" s="1"/>
      <c r="AX22" s="1"/>
      <c r="AY22" s="1"/>
      <c r="AZ22" s="1"/>
    </row>
    <row r="23" spans="1:52" s="12" customFormat="1" ht="14.4" customHeight="1" x14ac:dyDescent="0.3">
      <c r="A23" s="1"/>
      <c r="B23" s="1"/>
      <c r="C23" s="1"/>
      <c r="D23" s="43"/>
      <c r="E23" s="69"/>
      <c r="F23" s="43"/>
      <c r="G23" s="43"/>
      <c r="H23" s="1" t="s">
        <v>196</v>
      </c>
      <c r="I23" s="70"/>
      <c r="J23" s="71" t="s">
        <v>116</v>
      </c>
      <c r="K23" s="72"/>
      <c r="L23" s="73"/>
      <c r="M23" s="74"/>
      <c r="N23" s="75"/>
      <c r="P23" s="76" t="s">
        <v>157</v>
      </c>
      <c r="Y23" s="1"/>
      <c r="Z23" s="1"/>
      <c r="AA23" s="1"/>
      <c r="AB23" s="1"/>
      <c r="AC23" s="1"/>
      <c r="AD23" s="1"/>
      <c r="AE23" s="1"/>
      <c r="AF23" s="1"/>
      <c r="AG23" s="1"/>
      <c r="AH23" s="1"/>
      <c r="AI23" s="77" t="e">
        <f>O63</f>
        <v>#DIV/0!</v>
      </c>
      <c r="AJ23" s="78"/>
      <c r="AK23" s="79" t="e">
        <f>Q63</f>
        <v>#DIV/0!</v>
      </c>
      <c r="AL23" s="80"/>
      <c r="AM23" s="81" t="e">
        <f>S63</f>
        <v>#DIV/0!</v>
      </c>
      <c r="AN23" s="82"/>
      <c r="AO23" s="83" t="e">
        <f>U63</f>
        <v>#DIV/0!</v>
      </c>
      <c r="AP23" s="84"/>
      <c r="AQ23" s="85" t="e">
        <f>W63</f>
        <v>#DIV/0!</v>
      </c>
      <c r="AR23" s="86"/>
      <c r="AS23" s="1"/>
      <c r="AT23" s="1"/>
      <c r="AU23" s="1"/>
      <c r="AV23" s="1"/>
      <c r="AW23" s="1"/>
      <c r="AX23" s="1"/>
      <c r="AY23" s="1"/>
      <c r="AZ23" s="1"/>
    </row>
    <row r="24" spans="1:52" s="12" customFormat="1" ht="14.4" customHeight="1" x14ac:dyDescent="0.3">
      <c r="A24" s="1"/>
      <c r="B24" s="1"/>
      <c r="C24" s="1"/>
      <c r="D24" s="1"/>
      <c r="E24" s="1"/>
      <c r="F24" s="1"/>
      <c r="G24" s="1"/>
      <c r="H24" s="1" t="s">
        <v>197</v>
      </c>
      <c r="I24" s="87" t="e">
        <f>I22/I21</f>
        <v>#DIV/0!</v>
      </c>
      <c r="J24" s="88" t="s">
        <v>100</v>
      </c>
      <c r="K24" s="46"/>
      <c r="L24" s="47"/>
      <c r="M24" s="48"/>
      <c r="N24" s="49"/>
      <c r="P24" s="89" t="s">
        <v>133</v>
      </c>
      <c r="Y24" s="1"/>
      <c r="Z24" s="1"/>
      <c r="AA24" s="1"/>
      <c r="AB24" s="1"/>
      <c r="AC24" s="1"/>
      <c r="AD24" s="1"/>
      <c r="AE24" s="1"/>
      <c r="AF24" s="1"/>
      <c r="AG24" s="1"/>
      <c r="AH24" s="1"/>
      <c r="AI24" s="90">
        <f>O62</f>
        <v>0</v>
      </c>
      <c r="AJ24" s="91"/>
      <c r="AK24" s="92">
        <f>Q62</f>
        <v>0</v>
      </c>
      <c r="AL24" s="93"/>
      <c r="AM24" s="94">
        <f>S62</f>
        <v>0</v>
      </c>
      <c r="AN24" s="95"/>
      <c r="AO24" s="96">
        <f>U62</f>
        <v>0</v>
      </c>
      <c r="AP24" s="97"/>
      <c r="AQ24" s="98">
        <f>W62</f>
        <v>0</v>
      </c>
      <c r="AR24" s="99"/>
      <c r="AS24" s="1"/>
      <c r="AT24" s="1"/>
      <c r="AU24" s="1"/>
      <c r="AV24" s="1"/>
      <c r="AW24" s="1"/>
      <c r="AX24" s="1"/>
      <c r="AY24" s="1"/>
      <c r="AZ24" s="1"/>
    </row>
    <row r="25" spans="1:52" s="12" customFormat="1" ht="14.4" customHeight="1" x14ac:dyDescent="0.3">
      <c r="A25" s="1"/>
      <c r="B25" s="1"/>
      <c r="C25" s="1"/>
      <c r="D25" s="1"/>
      <c r="E25" s="1"/>
      <c r="F25" s="1"/>
      <c r="G25" s="1"/>
      <c r="H25" s="1" t="s">
        <v>198</v>
      </c>
      <c r="I25" s="100" t="e">
        <f>I26/(365/7)</f>
        <v>#DIV/0!</v>
      </c>
      <c r="J25" s="22" t="s">
        <v>67</v>
      </c>
      <c r="K25" s="22"/>
      <c r="L25" s="57"/>
      <c r="M25" s="39"/>
      <c r="N25" s="58"/>
      <c r="P25" s="12" t="s">
        <v>140</v>
      </c>
      <c r="Y25" s="1"/>
      <c r="Z25" s="1"/>
      <c r="AA25" s="1"/>
      <c r="AB25" s="1"/>
      <c r="AC25" s="1"/>
      <c r="AD25" s="1"/>
      <c r="AE25" s="1"/>
      <c r="AF25" s="1"/>
      <c r="AG25" s="1"/>
      <c r="AH25" s="1"/>
      <c r="AI25" s="101" t="e">
        <f>AI26/(365/7)</f>
        <v>#DIV/0!</v>
      </c>
      <c r="AJ25" s="60"/>
      <c r="AK25" s="102" t="e">
        <f>AK26/(365/7)</f>
        <v>#DIV/0!</v>
      </c>
      <c r="AL25" s="62"/>
      <c r="AM25" s="103" t="e">
        <f>AM26/(365/7)</f>
        <v>#DIV/0!</v>
      </c>
      <c r="AN25" s="64"/>
      <c r="AO25" s="104" t="e">
        <f>AO26/(365/7)</f>
        <v>#DIV/0!</v>
      </c>
      <c r="AP25" s="66"/>
      <c r="AQ25" s="105" t="e">
        <f>AQ26/(365/7)</f>
        <v>#DIV/0!</v>
      </c>
      <c r="AR25" s="68"/>
      <c r="AS25" s="1"/>
      <c r="AT25" s="1"/>
      <c r="AU25" s="1"/>
      <c r="AV25" s="1"/>
      <c r="AW25" s="1"/>
      <c r="AX25" s="1"/>
      <c r="AY25" s="1"/>
      <c r="AZ25" s="1"/>
    </row>
    <row r="26" spans="1:52" s="12" customFormat="1" ht="14.4" customHeight="1" x14ac:dyDescent="0.3">
      <c r="A26" s="1"/>
      <c r="B26" s="1"/>
      <c r="C26" s="1"/>
      <c r="D26" s="1"/>
      <c r="E26" s="1"/>
      <c r="F26" s="1"/>
      <c r="G26" s="1"/>
      <c r="H26" s="1" t="s">
        <v>199</v>
      </c>
      <c r="I26" s="106" t="e">
        <f>I22/I23</f>
        <v>#DIV/0!</v>
      </c>
      <c r="J26" s="71" t="s">
        <v>81</v>
      </c>
      <c r="K26" s="72"/>
      <c r="L26" s="73"/>
      <c r="M26" s="74"/>
      <c r="N26" s="75"/>
      <c r="P26" s="12" t="s">
        <v>156</v>
      </c>
      <c r="Y26" s="1"/>
      <c r="Z26" s="1"/>
      <c r="AA26" s="1"/>
      <c r="AB26" s="1"/>
      <c r="AC26" s="1"/>
      <c r="AD26" s="1"/>
      <c r="AE26" s="1"/>
      <c r="AF26" s="1"/>
      <c r="AG26" s="1"/>
      <c r="AH26" s="1"/>
      <c r="AI26" s="107" t="e">
        <f>AI22/AI23</f>
        <v>#DIV/0!</v>
      </c>
      <c r="AJ26" s="78"/>
      <c r="AK26" s="108" t="e">
        <f>AK22/AK23</f>
        <v>#DIV/0!</v>
      </c>
      <c r="AL26" s="80"/>
      <c r="AM26" s="109" t="e">
        <f>AM22/AM23</f>
        <v>#DIV/0!</v>
      </c>
      <c r="AN26" s="82"/>
      <c r="AO26" s="110" t="e">
        <f>AO22/AO23</f>
        <v>#DIV/0!</v>
      </c>
      <c r="AP26" s="84"/>
      <c r="AQ26" s="111" t="e">
        <f>AQ22/AQ23</f>
        <v>#DIV/0!</v>
      </c>
      <c r="AR26" s="86"/>
      <c r="AS26" s="1"/>
      <c r="AT26" s="1"/>
      <c r="AU26" s="1"/>
      <c r="AV26" s="1"/>
      <c r="AW26" s="1"/>
      <c r="AX26" s="1"/>
      <c r="AY26" s="1"/>
      <c r="AZ26" s="1"/>
    </row>
    <row r="27" spans="1:52" s="12" customFormat="1" ht="14.4" customHeight="1" x14ac:dyDescent="0.3">
      <c r="A27" s="1"/>
      <c r="B27" s="1"/>
      <c r="C27" s="1"/>
      <c r="D27" s="1"/>
      <c r="E27" s="1"/>
      <c r="F27" s="1"/>
      <c r="G27" s="1"/>
      <c r="H27" s="1" t="s">
        <v>200</v>
      </c>
      <c r="I27" s="87" t="e">
        <f>I24/I23</f>
        <v>#DIV/0!</v>
      </c>
      <c r="J27" s="46" t="s">
        <v>121</v>
      </c>
      <c r="K27" s="46"/>
      <c r="L27" s="47"/>
      <c r="M27" s="48"/>
      <c r="N27" s="49"/>
      <c r="P27" s="12" t="s">
        <v>255</v>
      </c>
      <c r="Y27" s="1"/>
      <c r="Z27" s="1"/>
      <c r="AA27" s="1"/>
      <c r="AB27" s="1"/>
      <c r="AC27" s="1"/>
      <c r="AD27" s="1"/>
      <c r="AE27" s="1"/>
      <c r="AF27" s="1"/>
      <c r="AG27" s="1"/>
      <c r="AH27" s="1"/>
      <c r="AI27" s="90" t="e">
        <f>AI24/AI23</f>
        <v>#DIV/0!</v>
      </c>
      <c r="AJ27" s="91"/>
      <c r="AK27" s="92" t="e">
        <f>AK24/AK23</f>
        <v>#DIV/0!</v>
      </c>
      <c r="AL27" s="93"/>
      <c r="AM27" s="94" t="e">
        <f>AM24/AM23</f>
        <v>#DIV/0!</v>
      </c>
      <c r="AN27" s="95"/>
      <c r="AO27" s="96" t="e">
        <f>AO24/AO23</f>
        <v>#DIV/0!</v>
      </c>
      <c r="AP27" s="97"/>
      <c r="AQ27" s="98" t="e">
        <f>AQ24/AQ23</f>
        <v>#DIV/0!</v>
      </c>
      <c r="AR27" s="99"/>
      <c r="AS27" s="1"/>
      <c r="AT27" s="1"/>
      <c r="AU27" s="1"/>
      <c r="AV27" s="1"/>
      <c r="AW27" s="1"/>
      <c r="AX27" s="1"/>
      <c r="AY27" s="1"/>
      <c r="AZ27" s="1"/>
    </row>
    <row r="28" spans="1:52" s="12" customFormat="1" ht="14.4" customHeight="1" x14ac:dyDescent="0.3">
      <c r="A28" s="1"/>
      <c r="B28" s="1"/>
      <c r="C28" s="1"/>
      <c r="D28" s="1"/>
      <c r="E28" s="1"/>
      <c r="F28" s="1"/>
      <c r="G28" s="1"/>
      <c r="H28" s="1" t="s">
        <v>201</v>
      </c>
      <c r="I28" s="112"/>
      <c r="J28" s="56" t="s">
        <v>59</v>
      </c>
      <c r="K28" s="22"/>
      <c r="L28" s="57"/>
      <c r="M28" s="39"/>
      <c r="N28" s="58"/>
      <c r="P28" s="113" t="s">
        <v>160</v>
      </c>
      <c r="Q28" s="12" t="s">
        <v>177</v>
      </c>
      <c r="Y28" s="1"/>
      <c r="Z28" s="1"/>
      <c r="AA28" s="1"/>
      <c r="AB28" s="1"/>
      <c r="AC28" s="1"/>
      <c r="AD28" s="1"/>
      <c r="AE28" s="1"/>
      <c r="AF28" s="1"/>
      <c r="AG28" s="1"/>
      <c r="AH28" s="1"/>
      <c r="AI28" s="114">
        <f>$I28</f>
        <v>0</v>
      </c>
      <c r="AJ28" s="60"/>
      <c r="AK28" s="115">
        <f>$I28</f>
        <v>0</v>
      </c>
      <c r="AL28" s="62"/>
      <c r="AM28" s="116">
        <f>$I28</f>
        <v>0</v>
      </c>
      <c r="AN28" s="64"/>
      <c r="AO28" s="117">
        <f>$I28</f>
        <v>0</v>
      </c>
      <c r="AP28" s="66"/>
      <c r="AQ28" s="118">
        <f>$I28</f>
        <v>0</v>
      </c>
      <c r="AR28" s="68"/>
      <c r="AS28" s="1"/>
      <c r="AT28" s="1"/>
      <c r="AU28" s="1"/>
      <c r="AV28" s="1"/>
      <c r="AW28" s="1"/>
      <c r="AX28" s="1"/>
      <c r="AY28" s="1"/>
      <c r="AZ28" s="1"/>
    </row>
    <row r="29" spans="1:52" s="12" customFormat="1" ht="14.4" customHeight="1" x14ac:dyDescent="0.3">
      <c r="A29" s="1"/>
      <c r="B29" s="1"/>
      <c r="C29" s="1"/>
      <c r="D29" s="1"/>
      <c r="E29" s="1"/>
      <c r="F29" s="1"/>
      <c r="G29" s="1"/>
      <c r="H29" s="1" t="s">
        <v>202</v>
      </c>
      <c r="I29" s="44"/>
      <c r="J29" s="71" t="s">
        <v>62</v>
      </c>
      <c r="K29" s="72"/>
      <c r="L29" s="73"/>
      <c r="M29" s="74"/>
      <c r="N29" s="75"/>
      <c r="P29" s="113" t="s">
        <v>161</v>
      </c>
      <c r="Q29" s="12" t="s">
        <v>178</v>
      </c>
      <c r="Y29" s="1"/>
      <c r="Z29" s="1"/>
      <c r="AA29" s="1"/>
      <c r="AB29" s="1"/>
      <c r="AC29" s="1"/>
      <c r="AD29" s="1"/>
      <c r="AE29" s="1"/>
      <c r="AF29" s="1"/>
      <c r="AG29" s="1"/>
      <c r="AH29" s="1"/>
      <c r="AI29" s="119">
        <f>$I29</f>
        <v>0</v>
      </c>
      <c r="AJ29" s="78"/>
      <c r="AK29" s="120">
        <f>$I29</f>
        <v>0</v>
      </c>
      <c r="AL29" s="80"/>
      <c r="AM29" s="121">
        <f>$I29</f>
        <v>0</v>
      </c>
      <c r="AN29" s="82"/>
      <c r="AO29" s="122">
        <f>$I29</f>
        <v>0</v>
      </c>
      <c r="AP29" s="84"/>
      <c r="AQ29" s="123">
        <f>$I29</f>
        <v>0</v>
      </c>
      <c r="AR29" s="86"/>
      <c r="AS29" s="1"/>
      <c r="AT29" s="1"/>
      <c r="AU29" s="1"/>
      <c r="AV29" s="1"/>
      <c r="AW29" s="1"/>
      <c r="AX29" s="1"/>
      <c r="AY29" s="1"/>
      <c r="AZ29" s="1"/>
    </row>
    <row r="30" spans="1:52" s="12" customFormat="1" ht="14.4" customHeight="1" x14ac:dyDescent="0.3">
      <c r="A30" s="1"/>
      <c r="B30" s="1"/>
      <c r="C30" s="1"/>
      <c r="D30" s="1"/>
      <c r="E30" s="1"/>
      <c r="F30" s="1"/>
      <c r="G30" s="1"/>
      <c r="H30" s="1" t="s">
        <v>203</v>
      </c>
      <c r="I30" s="44"/>
      <c r="J30" s="45" t="s">
        <v>57</v>
      </c>
      <c r="K30" s="46"/>
      <c r="L30" s="47"/>
      <c r="M30" s="48"/>
      <c r="N30" s="49"/>
      <c r="P30" s="113" t="s">
        <v>162</v>
      </c>
      <c r="Q30" s="12" t="s">
        <v>152</v>
      </c>
      <c r="Y30" s="1"/>
      <c r="Z30" s="1"/>
      <c r="AA30" s="1"/>
      <c r="AB30" s="1"/>
      <c r="AC30" s="1"/>
      <c r="AD30" s="1"/>
      <c r="AE30" s="1"/>
      <c r="AF30" s="1"/>
      <c r="AG30" s="1"/>
      <c r="AH30" s="1"/>
      <c r="AI30" s="124">
        <f>$I30</f>
        <v>0</v>
      </c>
      <c r="AJ30" s="91"/>
      <c r="AK30" s="125">
        <f>$I30</f>
        <v>0</v>
      </c>
      <c r="AL30" s="93"/>
      <c r="AM30" s="126">
        <f>$I30</f>
        <v>0</v>
      </c>
      <c r="AN30" s="95"/>
      <c r="AO30" s="127">
        <f>$I30</f>
        <v>0</v>
      </c>
      <c r="AP30" s="97"/>
      <c r="AQ30" s="128">
        <f>$I30</f>
        <v>0</v>
      </c>
      <c r="AR30" s="99"/>
      <c r="AS30" s="1"/>
      <c r="AT30" s="1"/>
      <c r="AU30" s="1"/>
      <c r="AV30" s="1"/>
      <c r="AW30" s="1"/>
      <c r="AX30" s="1"/>
      <c r="AY30" s="1"/>
      <c r="AZ30" s="1"/>
    </row>
    <row r="31" spans="1:52" s="12" customFormat="1" ht="14.4" customHeight="1" x14ac:dyDescent="0.3">
      <c r="A31" s="1"/>
      <c r="B31" s="1"/>
      <c r="C31" s="1"/>
      <c r="D31" s="1"/>
      <c r="E31" s="1"/>
      <c r="F31" s="1"/>
      <c r="G31" s="1"/>
      <c r="H31" s="1" t="s">
        <v>204</v>
      </c>
      <c r="I31" s="44"/>
      <c r="J31" s="56" t="s">
        <v>60</v>
      </c>
      <c r="K31" s="22"/>
      <c r="L31" s="57"/>
      <c r="M31" s="39"/>
      <c r="N31" s="58"/>
      <c r="P31" s="113" t="s">
        <v>163</v>
      </c>
      <c r="Q31" s="12" t="s">
        <v>153</v>
      </c>
      <c r="Y31" s="1"/>
      <c r="Z31" s="1"/>
      <c r="AA31" s="1"/>
      <c r="AB31" s="1"/>
      <c r="AC31" s="1"/>
      <c r="AD31" s="1"/>
      <c r="AE31" s="1"/>
      <c r="AF31" s="1"/>
      <c r="AG31" s="1"/>
      <c r="AH31" s="1"/>
      <c r="AI31" s="59">
        <f>O59</f>
        <v>0</v>
      </c>
      <c r="AJ31" s="60"/>
      <c r="AK31" s="61">
        <f>Q59</f>
        <v>0</v>
      </c>
      <c r="AL31" s="62"/>
      <c r="AM31" s="63">
        <f>S59</f>
        <v>0</v>
      </c>
      <c r="AN31" s="64"/>
      <c r="AO31" s="65">
        <f>U59</f>
        <v>0</v>
      </c>
      <c r="AP31" s="66"/>
      <c r="AQ31" s="67">
        <f>W59</f>
        <v>0</v>
      </c>
      <c r="AR31" s="68"/>
      <c r="AS31" s="1"/>
      <c r="AT31" s="1"/>
      <c r="AU31" s="1"/>
      <c r="AV31" s="1"/>
      <c r="AW31" s="1"/>
      <c r="AX31" s="1"/>
      <c r="AY31" s="1"/>
      <c r="AZ31" s="1"/>
    </row>
    <row r="32" spans="1:52" s="12" customFormat="1" ht="14.4" customHeight="1" x14ac:dyDescent="0.3">
      <c r="A32" s="1"/>
      <c r="B32" s="1"/>
      <c r="C32" s="1"/>
      <c r="D32" s="1"/>
      <c r="E32" s="1"/>
      <c r="F32" s="1"/>
      <c r="G32" s="1"/>
      <c r="H32" s="1" t="s">
        <v>205</v>
      </c>
      <c r="I32" s="129" t="e">
        <f>(365/I27)-I29-I30</f>
        <v>#DIV/0!</v>
      </c>
      <c r="J32" s="130" t="s">
        <v>79</v>
      </c>
      <c r="K32" s="131"/>
      <c r="L32" s="132"/>
      <c r="M32" s="133"/>
      <c r="N32" s="75"/>
      <c r="P32" s="113" t="s">
        <v>164</v>
      </c>
      <c r="Q32" s="12" t="s">
        <v>154</v>
      </c>
      <c r="Y32" s="1"/>
      <c r="Z32" s="1"/>
      <c r="AA32" s="1"/>
      <c r="AB32" s="1"/>
      <c r="AC32" s="1"/>
      <c r="AD32" s="1"/>
      <c r="AE32" s="1"/>
      <c r="AF32" s="1"/>
      <c r="AG32" s="1"/>
      <c r="AH32" s="1"/>
      <c r="AI32" s="134" t="e">
        <f>(365/AI27)-AI29-AI30</f>
        <v>#DIV/0!</v>
      </c>
      <c r="AJ32" s="78"/>
      <c r="AK32" s="135" t="e">
        <f>(365/AK27)-AK29-AK30</f>
        <v>#DIV/0!</v>
      </c>
      <c r="AL32" s="80"/>
      <c r="AM32" s="136" t="e">
        <f>(365/AM27)-AM29-AM30</f>
        <v>#DIV/0!</v>
      </c>
      <c r="AN32" s="82"/>
      <c r="AO32" s="137" t="e">
        <f>(365/AO27)-AO29-AO30</f>
        <v>#DIV/0!</v>
      </c>
      <c r="AP32" s="84"/>
      <c r="AQ32" s="138" t="e">
        <f>(365/AQ27)-AQ29-AQ30</f>
        <v>#DIV/0!</v>
      </c>
      <c r="AR32" s="86"/>
      <c r="AS32" s="1"/>
      <c r="AT32" s="1"/>
      <c r="AU32" s="1"/>
      <c r="AV32" s="1"/>
      <c r="AW32" s="1"/>
      <c r="AX32" s="1"/>
      <c r="AY32" s="1"/>
      <c r="AZ32" s="1"/>
    </row>
    <row r="33" spans="1:52" s="12" customFormat="1" ht="14.4" customHeight="1" x14ac:dyDescent="0.3">
      <c r="A33" s="1"/>
      <c r="B33" s="1"/>
      <c r="C33" s="1"/>
      <c r="D33" s="1"/>
      <c r="E33" s="1"/>
      <c r="F33" s="40"/>
      <c r="G33" s="40"/>
      <c r="H33" s="1" t="s">
        <v>206</v>
      </c>
      <c r="I33" s="106" t="e">
        <f>I29+I30+I32</f>
        <v>#DIV/0!</v>
      </c>
      <c r="J33" s="45" t="s">
        <v>58</v>
      </c>
      <c r="K33" s="46"/>
      <c r="L33" s="47"/>
      <c r="M33" s="48"/>
      <c r="N33" s="49"/>
      <c r="P33" s="113" t="s">
        <v>165</v>
      </c>
      <c r="Q33" s="12" t="s">
        <v>256</v>
      </c>
      <c r="Y33" s="1"/>
      <c r="Z33" s="1"/>
      <c r="AA33" s="1"/>
      <c r="AB33" s="1"/>
      <c r="AC33" s="1"/>
      <c r="AD33" s="1"/>
      <c r="AE33" s="1"/>
      <c r="AF33" s="1"/>
      <c r="AG33" s="1"/>
      <c r="AH33" s="1"/>
      <c r="AI33" s="139" t="e">
        <f>AI29+AI30+AI32</f>
        <v>#DIV/0!</v>
      </c>
      <c r="AJ33" s="91"/>
      <c r="AK33" s="140" t="e">
        <f>AK29+AK30+AK32</f>
        <v>#DIV/0!</v>
      </c>
      <c r="AL33" s="93"/>
      <c r="AM33" s="141" t="e">
        <f>AM29+AM30+AM32</f>
        <v>#DIV/0!</v>
      </c>
      <c r="AN33" s="95"/>
      <c r="AO33" s="142" t="e">
        <f>AO29+AO30+AO32</f>
        <v>#DIV/0!</v>
      </c>
      <c r="AP33" s="97"/>
      <c r="AQ33" s="143" t="e">
        <f>AQ29+AQ30+AQ32</f>
        <v>#DIV/0!</v>
      </c>
      <c r="AR33" s="99"/>
      <c r="AS33" s="1"/>
      <c r="AT33" s="1"/>
      <c r="AU33" s="1"/>
      <c r="AV33" s="1"/>
      <c r="AW33" s="1"/>
      <c r="AX33" s="1"/>
      <c r="AY33" s="1"/>
      <c r="AZ33" s="1"/>
    </row>
    <row r="34" spans="1:52" s="12" customFormat="1" ht="14.4" customHeight="1" x14ac:dyDescent="0.3">
      <c r="A34" s="1"/>
      <c r="B34" s="1"/>
      <c r="C34" s="1"/>
      <c r="D34" s="1"/>
      <c r="E34" s="1"/>
      <c r="F34" s="40"/>
      <c r="G34" s="40"/>
      <c r="H34" s="1" t="s">
        <v>207</v>
      </c>
      <c r="I34" s="106" t="e">
        <f>I30/365*I27*I21</f>
        <v>#DIV/0!</v>
      </c>
      <c r="J34" s="56" t="s">
        <v>61</v>
      </c>
      <c r="K34" s="22"/>
      <c r="L34" s="57"/>
      <c r="M34" s="39"/>
      <c r="N34" s="58"/>
      <c r="P34" s="113" t="s">
        <v>166</v>
      </c>
      <c r="Q34" s="12" t="s">
        <v>172</v>
      </c>
      <c r="Y34" s="1"/>
      <c r="Z34" s="1"/>
      <c r="AA34" s="1"/>
      <c r="AB34" s="1"/>
      <c r="AC34" s="1"/>
      <c r="AD34" s="1"/>
      <c r="AE34" s="1"/>
      <c r="AF34" s="1"/>
      <c r="AG34" s="1"/>
      <c r="AH34" s="1"/>
      <c r="AI34" s="144" t="e">
        <f>AI30/365*AI27*AI21</f>
        <v>#DIV/0!</v>
      </c>
      <c r="AJ34" s="60"/>
      <c r="AK34" s="145" t="e">
        <f>AK30/365*AK27*AK21</f>
        <v>#DIV/0!</v>
      </c>
      <c r="AL34" s="62"/>
      <c r="AM34" s="146" t="e">
        <f>AM30/365*AM27*AM21</f>
        <v>#DIV/0!</v>
      </c>
      <c r="AN34" s="64"/>
      <c r="AO34" s="147" t="e">
        <f>AO30/365*AO27*AO21</f>
        <v>#DIV/0!</v>
      </c>
      <c r="AP34" s="66"/>
      <c r="AQ34" s="148" t="e">
        <f>AQ30/365*AQ27*AQ21</f>
        <v>#DIV/0!</v>
      </c>
      <c r="AR34" s="68"/>
      <c r="AS34" s="1"/>
      <c r="AT34" s="1"/>
      <c r="AU34" s="1"/>
      <c r="AV34" s="1"/>
      <c r="AW34" s="1"/>
      <c r="AX34" s="1"/>
      <c r="AY34" s="1"/>
      <c r="AZ34" s="1"/>
    </row>
    <row r="35" spans="1:52" s="12" customFormat="1" ht="14.4" customHeight="1" x14ac:dyDescent="0.3">
      <c r="A35" s="1"/>
      <c r="B35" s="1"/>
      <c r="C35" s="1"/>
      <c r="D35" s="1"/>
      <c r="E35" s="149"/>
      <c r="F35" s="40"/>
      <c r="G35" s="40"/>
      <c r="H35" s="1" t="s">
        <v>208</v>
      </c>
      <c r="I35" s="106" t="e">
        <f>(I33-I30)*I21*I27/365</f>
        <v>#DIV/0!</v>
      </c>
      <c r="J35" s="71" t="s">
        <v>91</v>
      </c>
      <c r="K35" s="72"/>
      <c r="L35" s="73"/>
      <c r="M35" s="74"/>
      <c r="N35" s="75"/>
      <c r="P35" s="113" t="s">
        <v>167</v>
      </c>
      <c r="Q35" s="12" t="s">
        <v>173</v>
      </c>
      <c r="Y35" s="1"/>
      <c r="Z35" s="1"/>
      <c r="AA35" s="1"/>
      <c r="AB35" s="1"/>
      <c r="AC35" s="1"/>
      <c r="AD35" s="1"/>
      <c r="AE35" s="1"/>
      <c r="AF35" s="1"/>
      <c r="AG35" s="1"/>
      <c r="AH35" s="1"/>
      <c r="AI35" s="107" t="e">
        <f>(AI33-AI30)*AI21*AI27/365</f>
        <v>#DIV/0!</v>
      </c>
      <c r="AJ35" s="119"/>
      <c r="AK35" s="108" t="e">
        <f>(AK33-AK30)*AK21*AK27/365</f>
        <v>#DIV/0!</v>
      </c>
      <c r="AL35" s="120"/>
      <c r="AM35" s="109" t="e">
        <f>(AM33-AM30)*AM21*AM27/365</f>
        <v>#DIV/0!</v>
      </c>
      <c r="AN35" s="121"/>
      <c r="AO35" s="150" t="e">
        <f>(AO33-AO30)*AO21*AO27/365</f>
        <v>#DIV/0!</v>
      </c>
      <c r="AP35" s="122"/>
      <c r="AQ35" s="111" t="e">
        <f>(AQ33-AQ30)*AQ21*AQ27/365</f>
        <v>#DIV/0!</v>
      </c>
      <c r="AR35" s="86"/>
      <c r="AS35" s="1"/>
      <c r="AT35" s="1"/>
      <c r="AU35" s="1"/>
      <c r="AV35" s="1"/>
      <c r="AW35" s="1"/>
      <c r="AX35" s="1"/>
      <c r="AY35" s="1"/>
      <c r="AZ35" s="1"/>
    </row>
    <row r="36" spans="1:52" s="12" customFormat="1" ht="14.4" customHeight="1" x14ac:dyDescent="0.3">
      <c r="A36" s="1"/>
      <c r="B36" s="1"/>
      <c r="C36" s="1"/>
      <c r="D36" s="1"/>
      <c r="E36" s="151"/>
      <c r="F36" s="1"/>
      <c r="G36" s="1"/>
      <c r="H36" s="1" t="s">
        <v>209</v>
      </c>
      <c r="I36" s="152" t="e">
        <f>I21-I34-I37-I38</f>
        <v>#DIV/0!</v>
      </c>
      <c r="J36" s="153" t="s">
        <v>94</v>
      </c>
      <c r="K36" s="154"/>
      <c r="L36" s="155"/>
      <c r="M36" s="48"/>
      <c r="N36" s="49"/>
      <c r="P36" s="113" t="s">
        <v>168</v>
      </c>
      <c r="Q36" s="12" t="s">
        <v>174</v>
      </c>
      <c r="Y36" s="1"/>
      <c r="Z36" s="1"/>
      <c r="AA36" s="1"/>
      <c r="AB36" s="1"/>
      <c r="AC36" s="1"/>
      <c r="AD36" s="1"/>
      <c r="AE36" s="1"/>
      <c r="AF36" s="1"/>
      <c r="AG36" s="1"/>
      <c r="AH36" s="1"/>
      <c r="AI36" s="156" t="e">
        <f>AI21-AI34-AI37-AI38</f>
        <v>#DIV/0!</v>
      </c>
      <c r="AJ36" s="157"/>
      <c r="AK36" s="158" t="e">
        <f>AK21-AK34-AK37-AK38</f>
        <v>#DIV/0!</v>
      </c>
      <c r="AL36" s="159"/>
      <c r="AM36" s="160" t="e">
        <f>AM21-AM34-AM37-AM38</f>
        <v>#DIV/0!</v>
      </c>
      <c r="AN36" s="161"/>
      <c r="AO36" s="162" t="e">
        <f>AO21-AO34-AO37-AO38</f>
        <v>#DIV/0!</v>
      </c>
      <c r="AP36" s="163"/>
      <c r="AQ36" s="164" t="e">
        <f>AQ21-AQ34-AQ37-AQ38</f>
        <v>#DIV/0!</v>
      </c>
      <c r="AR36" s="99"/>
      <c r="AS36" s="1"/>
      <c r="AT36" s="1"/>
      <c r="AU36" s="1"/>
      <c r="AV36" s="1"/>
      <c r="AW36" s="1"/>
      <c r="AX36" s="1"/>
      <c r="AY36" s="1"/>
      <c r="AZ36" s="1"/>
    </row>
    <row r="37" spans="1:52" s="12" customFormat="1" ht="14.4" customHeight="1" x14ac:dyDescent="0.3">
      <c r="A37" s="1"/>
      <c r="B37" s="1"/>
      <c r="C37" s="1"/>
      <c r="D37" s="1"/>
      <c r="E37" s="1"/>
      <c r="F37" s="1"/>
      <c r="G37" s="1"/>
      <c r="H37" s="1" t="s">
        <v>210</v>
      </c>
      <c r="I37" s="152" t="e">
        <f>(I25*(1+(1-I28)))*(I31/7)</f>
        <v>#DIV/0!</v>
      </c>
      <c r="J37" s="165" t="s">
        <v>120</v>
      </c>
      <c r="K37" s="166"/>
      <c r="L37" s="167"/>
      <c r="M37" s="39"/>
      <c r="N37" s="58"/>
      <c r="P37" s="113" t="s">
        <v>169</v>
      </c>
      <c r="Q37" s="12" t="s">
        <v>175</v>
      </c>
      <c r="Y37" s="1"/>
      <c r="Z37" s="1"/>
      <c r="AA37" s="1"/>
      <c r="AB37" s="1"/>
      <c r="AC37" s="1"/>
      <c r="AD37" s="1"/>
      <c r="AE37" s="1"/>
      <c r="AF37" s="1"/>
      <c r="AG37" s="1"/>
      <c r="AH37" s="1"/>
      <c r="AI37" s="168" t="e">
        <f>(AI25*(1+(1-AI28)))*(AI31/7)</f>
        <v>#DIV/0!</v>
      </c>
      <c r="AJ37" s="169"/>
      <c r="AK37" s="170" t="e">
        <f>(AK25*(1+(1-AK28)))*(AK31/7)</f>
        <v>#DIV/0!</v>
      </c>
      <c r="AL37" s="171"/>
      <c r="AM37" s="172" t="e">
        <f>(AM25*(1+(1-AM28)))*(AM31/7)</f>
        <v>#DIV/0!</v>
      </c>
      <c r="AN37" s="173"/>
      <c r="AO37" s="174" t="e">
        <f>(AO25*(1+(1-AO28)))*(AO31/7)</f>
        <v>#DIV/0!</v>
      </c>
      <c r="AP37" s="175"/>
      <c r="AQ37" s="176" t="e">
        <f>(AQ25*(1+(1-AQ28)))*(AQ31/7)</f>
        <v>#DIV/0!</v>
      </c>
      <c r="AR37" s="68"/>
      <c r="AS37" s="1"/>
      <c r="AT37" s="1"/>
      <c r="AU37" s="1"/>
      <c r="AV37" s="1"/>
      <c r="AW37" s="1"/>
      <c r="AX37" s="1"/>
      <c r="AY37" s="1"/>
      <c r="AZ37" s="1"/>
    </row>
    <row r="38" spans="1:52" s="12" customFormat="1" ht="14.4" customHeight="1" x14ac:dyDescent="0.3">
      <c r="A38" s="40"/>
      <c r="B38" s="1"/>
      <c r="C38" s="1"/>
      <c r="D38" s="1"/>
      <c r="E38" s="40"/>
      <c r="F38" s="1"/>
      <c r="G38" s="1"/>
      <c r="H38" s="1" t="s">
        <v>211</v>
      </c>
      <c r="I38" s="152" t="e">
        <f>(1-I28)*(I31/365*I27*I21)</f>
        <v>#DIV/0!</v>
      </c>
      <c r="J38" s="177" t="s">
        <v>98</v>
      </c>
      <c r="K38" s="178"/>
      <c r="L38" s="179"/>
      <c r="M38" s="74"/>
      <c r="N38" s="75"/>
      <c r="P38" s="113" t="s">
        <v>170</v>
      </c>
      <c r="Q38" s="12" t="s">
        <v>159</v>
      </c>
      <c r="Y38" s="1"/>
      <c r="Z38" s="1"/>
      <c r="AA38" s="1"/>
      <c r="AB38" s="1"/>
      <c r="AC38" s="1"/>
      <c r="AD38" s="1"/>
      <c r="AE38" s="1"/>
      <c r="AF38" s="1"/>
      <c r="AG38" s="1"/>
      <c r="AH38" s="1"/>
      <c r="AI38" s="180" t="e">
        <f>(1-AI28)*(AI31/365*AI27*AI21)</f>
        <v>#DIV/0!</v>
      </c>
      <c r="AJ38" s="181"/>
      <c r="AK38" s="182" t="e">
        <f>(1-AK28)*(AK31/365*AK27*AK21)</f>
        <v>#DIV/0!</v>
      </c>
      <c r="AL38" s="183"/>
      <c r="AM38" s="184" t="e">
        <f>(1-AM28)*(AM31/365*AM27*AM21)</f>
        <v>#DIV/0!</v>
      </c>
      <c r="AN38" s="185"/>
      <c r="AO38" s="186" t="e">
        <f>(1-AO28)*(AO31/365*AO27*AO21)</f>
        <v>#DIV/0!</v>
      </c>
      <c r="AP38" s="187"/>
      <c r="AQ38" s="188" t="e">
        <f>(1-AQ28)*(AQ31/365*AQ27*AQ21)</f>
        <v>#DIV/0!</v>
      </c>
      <c r="AR38" s="86"/>
      <c r="AS38" s="1"/>
      <c r="AT38" s="1"/>
      <c r="AU38" s="1"/>
      <c r="AV38" s="1"/>
      <c r="AW38" s="1"/>
      <c r="AX38" s="1"/>
      <c r="AY38" s="1"/>
      <c r="AZ38" s="1"/>
    </row>
    <row r="39" spans="1:52" s="12" customFormat="1" ht="14.4" customHeight="1" x14ac:dyDescent="0.3">
      <c r="A39" s="1"/>
      <c r="B39" s="1"/>
      <c r="C39" s="1"/>
      <c r="D39" s="1"/>
      <c r="E39" s="151"/>
      <c r="F39" s="1"/>
      <c r="G39" s="1"/>
      <c r="H39" s="1" t="s">
        <v>212</v>
      </c>
      <c r="I39" s="189" t="e">
        <f>I34+I37+I38+I36</f>
        <v>#DIV/0!</v>
      </c>
      <c r="J39" s="190" t="s">
        <v>78</v>
      </c>
      <c r="K39" s="191"/>
      <c r="L39" s="192"/>
      <c r="M39" s="193"/>
      <c r="N39" s="194"/>
      <c r="P39" s="113" t="s">
        <v>171</v>
      </c>
      <c r="Q39" s="12" t="s">
        <v>176</v>
      </c>
      <c r="R39" s="1"/>
      <c r="S39" s="1"/>
      <c r="Y39" s="1"/>
      <c r="Z39" s="1"/>
      <c r="AA39" s="1"/>
      <c r="AB39" s="1"/>
      <c r="AC39" s="1"/>
      <c r="AD39" s="1"/>
      <c r="AE39" s="1"/>
      <c r="AF39" s="1"/>
      <c r="AG39" s="1"/>
      <c r="AH39" s="1"/>
      <c r="AI39" s="195" t="e">
        <f>AI34+AI37+AI38+AI36</f>
        <v>#DIV/0!</v>
      </c>
      <c r="AJ39" s="196"/>
      <c r="AK39" s="197" t="e">
        <f>AK34+AK37+AK38+AK36</f>
        <v>#DIV/0!</v>
      </c>
      <c r="AL39" s="198"/>
      <c r="AM39" s="199" t="e">
        <f>AM34+AM37+AM38+AM36</f>
        <v>#DIV/0!</v>
      </c>
      <c r="AN39" s="200"/>
      <c r="AO39" s="201" t="e">
        <f>AO34+AO37+AO38+AO36</f>
        <v>#DIV/0!</v>
      </c>
      <c r="AP39" s="202"/>
      <c r="AQ39" s="203" t="e">
        <f>AQ34+AQ37+AQ38+AQ36</f>
        <v>#DIV/0!</v>
      </c>
      <c r="AR39" s="204"/>
      <c r="AS39" s="1"/>
      <c r="AT39" s="1"/>
      <c r="AU39" s="1"/>
      <c r="AV39" s="1"/>
      <c r="AW39" s="1"/>
      <c r="AX39" s="1"/>
      <c r="AY39" s="1"/>
      <c r="AZ39" s="1"/>
    </row>
    <row r="40" spans="1:52" s="12" customFormat="1" ht="14.4" customHeight="1" x14ac:dyDescent="0.3">
      <c r="A40" s="1"/>
      <c r="B40" s="1"/>
      <c r="C40" s="1"/>
      <c r="D40" s="1"/>
      <c r="E40" s="1"/>
      <c r="F40" s="1"/>
      <c r="G40" s="1"/>
      <c r="H40" s="1"/>
      <c r="I40" s="151"/>
      <c r="J40" s="1"/>
      <c r="K40" s="1"/>
      <c r="L40" s="37"/>
      <c r="M40" s="205"/>
      <c r="N40" s="38"/>
      <c r="O40" s="151"/>
      <c r="P40" s="113" t="s">
        <v>180</v>
      </c>
      <c r="Q40" s="1" t="s">
        <v>179</v>
      </c>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s="12" customFormat="1" ht="14.4" customHeight="1" x14ac:dyDescent="0.3">
      <c r="A41" s="1"/>
      <c r="B41" s="42" t="s">
        <v>224</v>
      </c>
      <c r="C41" s="1"/>
      <c r="D41" s="1"/>
      <c r="E41" s="1"/>
      <c r="F41" s="1"/>
      <c r="G41" s="1"/>
      <c r="H41" s="1"/>
      <c r="I41" s="1"/>
      <c r="J41" s="1"/>
      <c r="K41" s="1"/>
      <c r="L41" s="37"/>
      <c r="M41" s="38"/>
      <c r="N41" s="38"/>
      <c r="O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s="12" customFormat="1" ht="14.4" customHeight="1" x14ac:dyDescent="0.3">
      <c r="A42" s="1"/>
      <c r="B42" s="1"/>
      <c r="C42" s="206"/>
      <c r="D42" s="206"/>
      <c r="E42" s="1"/>
      <c r="F42" s="1"/>
      <c r="G42" s="1"/>
      <c r="H42" s="1"/>
      <c r="I42" s="112"/>
      <c r="J42" s="27" t="s">
        <v>85</v>
      </c>
      <c r="K42" s="1"/>
      <c r="L42" s="37"/>
      <c r="N42" s="207"/>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s="12" customFormat="1" ht="14.4" customHeight="1" x14ac:dyDescent="0.3">
      <c r="A43" s="1"/>
      <c r="B43" s="1"/>
      <c r="C43" s="1"/>
      <c r="D43" s="1"/>
      <c r="E43" s="207" t="s">
        <v>88</v>
      </c>
      <c r="F43" s="1"/>
      <c r="G43" s="1"/>
      <c r="H43" s="1"/>
      <c r="I43" s="1"/>
      <c r="J43" s="1"/>
      <c r="K43" s="1"/>
      <c r="L43" s="37"/>
      <c r="M43" s="38"/>
      <c r="N43" s="38"/>
      <c r="O43" s="1"/>
      <c r="P43" s="1"/>
      <c r="Q43" s="1"/>
      <c r="R43" s="1"/>
      <c r="S43" s="1"/>
      <c r="T43" s="1"/>
      <c r="U43" s="1"/>
      <c r="V43" s="1"/>
      <c r="W43" s="1"/>
      <c r="X43" s="1"/>
      <c r="Y43" s="208"/>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s="12" customFormat="1" ht="14.4" customHeight="1" x14ac:dyDescent="0.3">
      <c r="A44" s="1"/>
      <c r="B44" s="42" t="s">
        <v>225</v>
      </c>
      <c r="C44" s="1"/>
      <c r="D44" s="1"/>
      <c r="E44" s="1"/>
      <c r="F44" s="1"/>
      <c r="G44" s="1"/>
      <c r="H44" s="1"/>
      <c r="I44" s="1"/>
      <c r="J44" s="1"/>
      <c r="K44" s="1"/>
      <c r="L44" s="37"/>
      <c r="M44" s="38"/>
      <c r="N44" s="38"/>
      <c r="O44" s="1"/>
      <c r="P44" s="1"/>
      <c r="Q44" s="1"/>
      <c r="R44" s="1"/>
      <c r="S44" s="1"/>
      <c r="T44" s="1"/>
      <c r="U44" s="209"/>
      <c r="V44" s="1"/>
      <c r="W44" s="209"/>
      <c r="X44" s="1"/>
      <c r="Y44" s="210"/>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12" customFormat="1" ht="14.4" customHeight="1" x14ac:dyDescent="0.3">
      <c r="A45" s="1"/>
      <c r="B45" s="1"/>
      <c r="C45" s="1"/>
      <c r="D45" s="1"/>
      <c r="E45" s="211"/>
      <c r="F45" s="211"/>
      <c r="G45" s="211"/>
      <c r="H45" s="1"/>
      <c r="I45" s="212" t="s">
        <v>44</v>
      </c>
      <c r="J45" s="212" t="s">
        <v>63</v>
      </c>
      <c r="K45" s="213"/>
      <c r="L45" s="37"/>
      <c r="M45" s="214"/>
      <c r="N45" s="214"/>
      <c r="O45" s="40"/>
      <c r="P45" s="40"/>
      <c r="Q45" s="40"/>
      <c r="R45" s="40"/>
      <c r="S45" s="40"/>
      <c r="T45" s="1"/>
      <c r="U45" s="37"/>
      <c r="V45" s="1"/>
      <c r="W45" s="37"/>
      <c r="X45" s="1"/>
      <c r="Y45" s="212"/>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s="12" customFormat="1" ht="14.4" customHeight="1" x14ac:dyDescent="0.3">
      <c r="A46" s="215"/>
      <c r="B46" s="46"/>
      <c r="C46" s="46"/>
      <c r="D46" s="46"/>
      <c r="E46" s="46"/>
      <c r="F46" s="46"/>
      <c r="G46" s="46"/>
      <c r="H46" s="49" t="s">
        <v>64</v>
      </c>
      <c r="I46" s="797"/>
      <c r="J46" s="216">
        <v>0.8</v>
      </c>
      <c r="K46" s="217">
        <f>J46*I46/56</f>
        <v>0</v>
      </c>
      <c r="L46" s="37"/>
      <c r="M46" s="214"/>
      <c r="N46" s="214"/>
      <c r="O46" s="40"/>
      <c r="P46" s="40"/>
      <c r="Q46" s="40"/>
      <c r="R46" s="40"/>
      <c r="S46" s="40"/>
      <c r="T46" s="1"/>
      <c r="U46" s="37"/>
      <c r="V46" s="1"/>
      <c r="W46" s="37"/>
      <c r="X46" s="1"/>
      <c r="Y46" s="212"/>
      <c r="Z46" s="209"/>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s="12" customFormat="1" ht="14.4" customHeight="1" x14ac:dyDescent="0.3">
      <c r="A47" s="218"/>
      <c r="B47" s="22"/>
      <c r="C47" s="22"/>
      <c r="D47" s="22"/>
      <c r="E47" s="22"/>
      <c r="F47" s="22"/>
      <c r="G47" s="22"/>
      <c r="H47" s="58" t="s">
        <v>65</v>
      </c>
      <c r="I47" s="797"/>
      <c r="J47" s="216">
        <v>0.15</v>
      </c>
      <c r="K47" s="217">
        <f>J47*I47/2000</f>
        <v>0</v>
      </c>
      <c r="L47" s="37"/>
      <c r="M47" s="214"/>
      <c r="N47" s="214"/>
      <c r="O47" s="40"/>
      <c r="P47" s="40"/>
      <c r="Q47" s="40"/>
      <c r="R47" s="40"/>
      <c r="S47" s="40"/>
      <c r="T47" s="1"/>
      <c r="U47" s="37"/>
      <c r="V47" s="1"/>
      <c r="W47" s="37"/>
      <c r="X47" s="1"/>
      <c r="Y47" s="212"/>
      <c r="Z47" s="209"/>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s="12" customFormat="1" ht="14.4" customHeight="1" x14ac:dyDescent="0.3">
      <c r="A48" s="218"/>
      <c r="B48" s="22"/>
      <c r="C48" s="22"/>
      <c r="D48" s="22"/>
      <c r="E48" s="22"/>
      <c r="F48" s="22"/>
      <c r="G48" s="22"/>
      <c r="H48" s="58" t="s">
        <v>66</v>
      </c>
      <c r="I48" s="797"/>
      <c r="J48" s="216">
        <v>0.05</v>
      </c>
      <c r="K48" s="217">
        <f>0.05*I48/2000</f>
        <v>0</v>
      </c>
      <c r="L48" s="37"/>
      <c r="M48" s="38"/>
      <c r="N48" s="38"/>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s="12" customFormat="1" ht="14.4" customHeight="1" x14ac:dyDescent="0.3">
      <c r="A49" s="218"/>
      <c r="B49" s="22"/>
      <c r="C49" s="22"/>
      <c r="D49" s="22"/>
      <c r="E49" s="22"/>
      <c r="F49" s="22"/>
      <c r="G49" s="22"/>
      <c r="H49" s="58" t="s">
        <v>96</v>
      </c>
      <c r="I49" s="798">
        <f>K46+K47+K48</f>
        <v>0</v>
      </c>
      <c r="J49" s="1"/>
      <c r="K49" s="1"/>
      <c r="L49" s="37"/>
      <c r="M49" s="38"/>
      <c r="N49" s="38"/>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s="12" customFormat="1" ht="14.4" customHeight="1" x14ac:dyDescent="0.3">
      <c r="A50" s="219"/>
      <c r="B50" s="72"/>
      <c r="C50" s="72"/>
      <c r="D50" s="72"/>
      <c r="E50" s="220"/>
      <c r="F50" s="72"/>
      <c r="G50" s="72"/>
      <c r="H50" s="221" t="s">
        <v>97</v>
      </c>
      <c r="I50" s="222"/>
      <c r="J50" s="1"/>
      <c r="K50" s="223"/>
      <c r="L50" s="224"/>
      <c r="M50" s="214"/>
      <c r="N50" s="214"/>
      <c r="O50" s="1"/>
      <c r="P50" s="1"/>
      <c r="Q50" s="40"/>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s="12" customFormat="1" ht="14.4" customHeight="1" x14ac:dyDescent="0.3">
      <c r="A51" s="1"/>
      <c r="B51" s="1"/>
      <c r="C51" s="1"/>
      <c r="D51" s="1"/>
      <c r="E51" s="40"/>
      <c r="F51" s="1"/>
      <c r="G51" s="1"/>
      <c r="H51" s="225"/>
      <c r="I51" s="225"/>
      <c r="J51" s="1"/>
      <c r="K51" s="223"/>
      <c r="L51" s="224"/>
      <c r="M51" s="38"/>
      <c r="N51" s="38"/>
      <c r="O51" s="225"/>
      <c r="P51" s="225"/>
      <c r="Q51" s="1"/>
      <c r="R51" s="1"/>
      <c r="S51" s="1"/>
      <c r="T51" s="1"/>
      <c r="U51" s="1"/>
      <c r="V51" s="1"/>
      <c r="W51" s="1"/>
      <c r="X51" s="1"/>
      <c r="Y51" s="226"/>
      <c r="Z51" s="226"/>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s="12" customFormat="1" ht="14.4" customHeight="1" x14ac:dyDescent="0.3">
      <c r="A52" s="1"/>
      <c r="B52" s="1"/>
      <c r="C52" s="1"/>
      <c r="D52" s="1"/>
      <c r="E52" s="40"/>
      <c r="F52" s="1"/>
      <c r="G52" s="1"/>
      <c r="H52" s="225"/>
      <c r="I52" s="225"/>
      <c r="J52" s="1"/>
      <c r="K52" s="223"/>
      <c r="L52" s="224"/>
      <c r="M52" s="38"/>
      <c r="N52" s="38"/>
      <c r="O52" s="225"/>
      <c r="P52" s="225"/>
      <c r="Q52" s="1"/>
      <c r="R52" s="1"/>
      <c r="S52" s="1"/>
      <c r="T52" s="1"/>
      <c r="U52" s="1"/>
      <c r="V52" s="1"/>
      <c r="W52" s="1"/>
      <c r="X52" s="1"/>
      <c r="Y52" s="226"/>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s="12" customFormat="1" ht="14.4" customHeight="1" x14ac:dyDescent="0.3">
      <c r="A53" s="1"/>
      <c r="B53" s="227"/>
      <c r="C53" s="228"/>
      <c r="D53" s="228"/>
      <c r="E53" s="228"/>
      <c r="F53" s="228"/>
      <c r="G53" s="228"/>
      <c r="H53" s="229" t="s">
        <v>84</v>
      </c>
      <c r="I53" s="230">
        <f>IF(AA54=FALSE,I49,I50)</f>
        <v>0</v>
      </c>
      <c r="J53" s="223"/>
      <c r="K53" s="223"/>
      <c r="L53" s="223"/>
      <c r="M53" s="223"/>
      <c r="N53" s="223"/>
      <c r="O53" s="223"/>
      <c r="P53" s="223"/>
      <c r="Q53" s="223"/>
      <c r="R53" s="223"/>
      <c r="S53" s="1"/>
      <c r="T53" s="1"/>
      <c r="U53" s="1"/>
      <c r="V53" s="1"/>
      <c r="W53" s="1"/>
      <c r="X53" s="1"/>
      <c r="Y53" s="231"/>
      <c r="Z53" s="1"/>
      <c r="AA53" s="1"/>
      <c r="AB53" s="1"/>
      <c r="AC53" s="1"/>
      <c r="AD53" s="1"/>
      <c r="AE53" s="1"/>
      <c r="AF53" s="1"/>
      <c r="AG53" s="1"/>
      <c r="AH53" s="1"/>
      <c r="AI53" s="1"/>
      <c r="AJ53" s="1"/>
      <c r="AK53" s="1"/>
      <c r="AL53" s="1"/>
      <c r="AM53" s="1"/>
      <c r="AN53" s="212"/>
      <c r="AO53" s="1"/>
      <c r="AP53" s="1"/>
      <c r="AQ53" s="1"/>
      <c r="AR53" s="1"/>
      <c r="AS53" s="1"/>
      <c r="AT53" s="1"/>
      <c r="AU53" s="1"/>
      <c r="AV53" s="1"/>
      <c r="AW53" s="1"/>
      <c r="AX53" s="1"/>
      <c r="AY53" s="1"/>
      <c r="AZ53" s="1"/>
    </row>
    <row r="54" spans="1:52" s="12" customFormat="1" ht="14.4" customHeight="1" thickBot="1" x14ac:dyDescent="0.35">
      <c r="A54" s="1"/>
      <c r="B54" s="1"/>
      <c r="C54" s="1"/>
      <c r="D54" s="1"/>
      <c r="E54" s="1"/>
      <c r="F54" s="1"/>
      <c r="G54" s="1"/>
      <c r="H54" s="1"/>
      <c r="I54" s="1"/>
      <c r="J54" s="223"/>
      <c r="K54" s="223"/>
      <c r="L54" s="223"/>
      <c r="M54" s="223"/>
      <c r="N54" s="223"/>
      <c r="O54" s="223"/>
      <c r="P54" s="223"/>
      <c r="Q54" s="223"/>
      <c r="R54" s="223"/>
      <c r="S54" s="1"/>
      <c r="T54" s="1"/>
      <c r="U54" s="1"/>
      <c r="V54" s="1"/>
      <c r="W54" s="1"/>
      <c r="X54" s="1"/>
      <c r="Y54" s="1"/>
      <c r="Z54" s="1"/>
      <c r="AA54" s="232" t="b">
        <v>1</v>
      </c>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s="12" customFormat="1" ht="14.4" customHeight="1" thickBot="1" x14ac:dyDescent="0.35">
      <c r="A55" s="1"/>
      <c r="B55" s="42" t="s">
        <v>226</v>
      </c>
      <c r="C55" s="1"/>
      <c r="D55" s="1"/>
      <c r="E55" s="1"/>
      <c r="F55" s="1"/>
      <c r="G55" s="1"/>
      <c r="H55" s="1"/>
      <c r="I55" s="1"/>
      <c r="J55" s="76"/>
      <c r="K55" s="379" t="s">
        <v>188</v>
      </c>
      <c r="L55" s="379"/>
      <c r="M55" s="315"/>
      <c r="N55" s="38"/>
      <c r="O55" s="708" t="s">
        <v>214</v>
      </c>
      <c r="P55" s="708"/>
      <c r="Q55" s="708"/>
      <c r="R55" s="708"/>
      <c r="S55" s="708"/>
      <c r="T55" s="22"/>
      <c r="U55" s="22"/>
      <c r="V55" s="22"/>
      <c r="W55" s="22"/>
      <c r="X55" s="22"/>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12" customFormat="1" ht="14.4" customHeight="1" thickBot="1" x14ac:dyDescent="0.35">
      <c r="A56" s="1"/>
      <c r="B56" s="1"/>
      <c r="C56" s="1"/>
      <c r="D56" s="1"/>
      <c r="E56" s="1"/>
      <c r="F56" s="1"/>
      <c r="G56" s="1"/>
      <c r="H56" s="1"/>
      <c r="I56" s="1"/>
      <c r="J56" s="1"/>
      <c r="K56" s="781" t="s">
        <v>137</v>
      </c>
      <c r="L56" s="782"/>
      <c r="M56" s="38"/>
      <c r="N56" s="38"/>
      <c r="O56" s="1357">
        <v>1</v>
      </c>
      <c r="P56" s="1358"/>
      <c r="Q56" s="1354">
        <v>2</v>
      </c>
      <c r="R56" s="1355"/>
      <c r="S56" s="1354">
        <v>3</v>
      </c>
      <c r="T56" s="1355"/>
      <c r="U56" s="1356">
        <v>4</v>
      </c>
      <c r="V56" s="1355"/>
      <c r="W56" s="1354">
        <v>5</v>
      </c>
      <c r="X56" s="1355"/>
      <c r="Y56" s="1"/>
      <c r="Z56" s="1"/>
      <c r="AA56" s="1"/>
      <c r="AB56" s="1"/>
      <c r="AC56" s="1"/>
      <c r="AD56" s="1"/>
      <c r="AE56" s="1"/>
      <c r="AF56" s="1"/>
      <c r="AG56" s="1"/>
      <c r="AH56" s="1"/>
      <c r="AI56" s="233" t="s">
        <v>39</v>
      </c>
      <c r="AJ56" s="233"/>
      <c r="AK56" s="234" t="s">
        <v>32</v>
      </c>
      <c r="AL56" s="234"/>
      <c r="AM56" s="235" t="s">
        <v>6</v>
      </c>
      <c r="AN56" s="235"/>
      <c r="AO56" s="236" t="s">
        <v>49</v>
      </c>
      <c r="AP56" s="236"/>
      <c r="AQ56" s="237" t="s">
        <v>36</v>
      </c>
      <c r="AR56" s="237"/>
      <c r="AS56" s="238" t="s">
        <v>5</v>
      </c>
      <c r="AT56" s="239"/>
      <c r="AU56" s="1"/>
      <c r="AV56" s="1"/>
      <c r="AW56" s="1"/>
      <c r="AX56" s="1"/>
      <c r="AY56" s="1"/>
      <c r="AZ56" s="1"/>
    </row>
    <row r="57" spans="1:52" s="12" customFormat="1" ht="14.4" customHeight="1" x14ac:dyDescent="0.3">
      <c r="A57" s="1"/>
      <c r="B57" s="1"/>
      <c r="C57" s="1"/>
      <c r="D57" s="1"/>
      <c r="E57" s="1"/>
      <c r="F57" s="1"/>
      <c r="G57" s="981"/>
      <c r="H57" s="981"/>
      <c r="I57" s="981"/>
      <c r="J57" s="982" t="s">
        <v>262</v>
      </c>
      <c r="K57" s="980">
        <f>K93</f>
        <v>0</v>
      </c>
      <c r="L57" s="783" t="s">
        <v>114</v>
      </c>
      <c r="M57" s="38"/>
      <c r="N57" s="1104"/>
      <c r="O57" s="980" t="e">
        <f>O93</f>
        <v>#DIV/0!</v>
      </c>
      <c r="P57" s="995" t="s">
        <v>114</v>
      </c>
      <c r="Q57" s="980" t="e">
        <f>Q93</f>
        <v>#DIV/0!</v>
      </c>
      <c r="R57" s="991" t="s">
        <v>114</v>
      </c>
      <c r="S57" s="980" t="e">
        <f>S93</f>
        <v>#DIV/0!</v>
      </c>
      <c r="T57" s="988" t="s">
        <v>114</v>
      </c>
      <c r="U57" s="979" t="e">
        <f>U93</f>
        <v>#DIV/0!</v>
      </c>
      <c r="V57" s="1157" t="s">
        <v>114</v>
      </c>
      <c r="W57" s="979" t="e">
        <f>W93</f>
        <v>#DIV/0!</v>
      </c>
      <c r="X57" s="984" t="s">
        <v>114</v>
      </c>
      <c r="Y57" s="22"/>
      <c r="Z57" s="1"/>
      <c r="AA57" s="1"/>
      <c r="AB57" s="1"/>
      <c r="AC57" s="1"/>
      <c r="AD57" s="1"/>
      <c r="AE57" s="1"/>
      <c r="AF57" s="1"/>
      <c r="AG57" s="1"/>
      <c r="AH57" s="1"/>
      <c r="AI57" s="233" t="s">
        <v>0</v>
      </c>
      <c r="AJ57" s="233"/>
      <c r="AK57" s="240" t="s">
        <v>3</v>
      </c>
      <c r="AL57" s="240">
        <v>5</v>
      </c>
      <c r="AM57" s="235" t="s">
        <v>4</v>
      </c>
      <c r="AN57" s="235"/>
      <c r="AO57" s="236"/>
      <c r="AP57" s="236"/>
      <c r="AQ57" s="237"/>
      <c r="AR57" s="237"/>
      <c r="AS57" s="238"/>
      <c r="AT57" s="239"/>
      <c r="AU57" s="1"/>
      <c r="AV57" s="1"/>
      <c r="AW57" s="1"/>
      <c r="AX57" s="1"/>
      <c r="AY57" s="1"/>
      <c r="AZ57" s="1"/>
    </row>
    <row r="58" spans="1:52" s="12" customFormat="1" ht="14.4" customHeight="1" x14ac:dyDescent="0.3">
      <c r="A58" s="1"/>
      <c r="B58" s="1"/>
      <c r="C58" s="1"/>
      <c r="D58" s="1"/>
      <c r="E58" s="241"/>
      <c r="F58" s="46"/>
      <c r="G58" s="46"/>
      <c r="H58" s="46"/>
      <c r="I58" s="48"/>
      <c r="J58" s="48" t="s">
        <v>127</v>
      </c>
      <c r="K58" s="784">
        <f>I21</f>
        <v>0</v>
      </c>
      <c r="L58" s="783" t="s">
        <v>114</v>
      </c>
      <c r="M58" s="48"/>
      <c r="N58" s="48"/>
      <c r="O58" s="684" t="e">
        <f>O61/O62</f>
        <v>#DIV/0!</v>
      </c>
      <c r="P58" s="638" t="s">
        <v>114</v>
      </c>
      <c r="Q58" s="685" t="e">
        <f>Q61/Q62</f>
        <v>#DIV/0!</v>
      </c>
      <c r="R58" s="646" t="s">
        <v>114</v>
      </c>
      <c r="S58" s="686" t="e">
        <f>S61/S62</f>
        <v>#DIV/0!</v>
      </c>
      <c r="T58" s="654" t="s">
        <v>114</v>
      </c>
      <c r="U58" s="687" t="e">
        <f>U61/U62</f>
        <v>#DIV/0!</v>
      </c>
      <c r="V58" s="662" t="s">
        <v>114</v>
      </c>
      <c r="W58" s="688" t="e">
        <f>W61/W62</f>
        <v>#DIV/0!</v>
      </c>
      <c r="X58" s="282" t="s">
        <v>114</v>
      </c>
      <c r="Y58" s="1"/>
      <c r="Z58" s="1"/>
      <c r="AA58" s="1"/>
      <c r="AB58" s="1"/>
      <c r="AC58" s="1"/>
      <c r="AD58" s="1"/>
      <c r="AE58" s="1"/>
      <c r="AF58" s="1"/>
      <c r="AG58" s="1"/>
      <c r="AH58" s="1"/>
      <c r="AI58" s="6"/>
      <c r="AJ58" s="6"/>
      <c r="AK58" s="16"/>
      <c r="AL58" s="16"/>
      <c r="AM58" s="17"/>
      <c r="AN58" s="17"/>
      <c r="AO58" s="18"/>
      <c r="AP58" s="18"/>
      <c r="AQ58" s="19"/>
      <c r="AR58" s="19"/>
      <c r="AS58" s="11"/>
      <c r="AT58" s="11"/>
      <c r="AU58" s="1"/>
      <c r="AV58" s="1"/>
      <c r="AW58" s="1"/>
      <c r="AX58" s="1"/>
      <c r="AY58" s="1"/>
      <c r="AZ58" s="1"/>
    </row>
    <row r="59" spans="1:52" s="12" customFormat="1" ht="14.4" customHeight="1" x14ac:dyDescent="0.3">
      <c r="A59" s="1"/>
      <c r="B59" s="1"/>
      <c r="C59" s="1"/>
      <c r="D59" s="1"/>
      <c r="E59" s="242"/>
      <c r="F59" s="22"/>
      <c r="G59" s="22"/>
      <c r="H59" s="22"/>
      <c r="I59" s="39"/>
      <c r="J59" s="39" t="s">
        <v>73</v>
      </c>
      <c r="K59" s="785">
        <f>I31</f>
        <v>0</v>
      </c>
      <c r="L59" s="783" t="s">
        <v>213</v>
      </c>
      <c r="M59" s="39"/>
      <c r="N59" s="39"/>
      <c r="O59" s="753"/>
      <c r="P59" s="638" t="s">
        <v>213</v>
      </c>
      <c r="Q59" s="753"/>
      <c r="R59" s="646" t="s">
        <v>213</v>
      </c>
      <c r="S59" s="753"/>
      <c r="T59" s="654" t="s">
        <v>213</v>
      </c>
      <c r="U59" s="753"/>
      <c r="V59" s="662" t="s">
        <v>213</v>
      </c>
      <c r="W59" s="753"/>
      <c r="X59" s="282" t="s">
        <v>213</v>
      </c>
      <c r="Y59" s="1"/>
      <c r="Z59" s="1"/>
      <c r="AA59" s="1"/>
      <c r="AB59" s="1"/>
      <c r="AC59" s="1"/>
      <c r="AD59" s="1"/>
      <c r="AE59" s="1"/>
      <c r="AF59" s="1"/>
      <c r="AG59" s="1"/>
      <c r="AH59" s="1"/>
      <c r="AI59" s="6"/>
      <c r="AJ59" s="6"/>
      <c r="AK59" s="16"/>
      <c r="AL59" s="16"/>
      <c r="AM59" s="17"/>
      <c r="AN59" s="17"/>
      <c r="AO59" s="18"/>
      <c r="AP59" s="18"/>
      <c r="AQ59" s="19"/>
      <c r="AR59" s="19"/>
      <c r="AS59" s="11"/>
      <c r="AT59" s="11"/>
      <c r="AU59" s="1"/>
      <c r="AV59" s="1"/>
      <c r="AW59" s="1"/>
      <c r="AX59" s="1"/>
      <c r="AY59" s="1"/>
      <c r="AZ59" s="1"/>
    </row>
    <row r="60" spans="1:52" s="12" customFormat="1" ht="14.4" customHeight="1" x14ac:dyDescent="0.3">
      <c r="A60" s="1"/>
      <c r="B60" s="1"/>
      <c r="C60" s="1"/>
      <c r="D60" s="1"/>
      <c r="E60" s="243"/>
      <c r="F60" s="72"/>
      <c r="G60" s="72"/>
      <c r="H60" s="72"/>
      <c r="I60" s="74"/>
      <c r="J60" s="74" t="s">
        <v>68</v>
      </c>
      <c r="K60" s="786" t="e">
        <f>I36</f>
        <v>#DIV/0!</v>
      </c>
      <c r="L60" s="783" t="s">
        <v>114</v>
      </c>
      <c r="M60" s="74"/>
      <c r="N60" s="74"/>
      <c r="O60" s="693" t="e">
        <f>AI36</f>
        <v>#DIV/0!</v>
      </c>
      <c r="P60" s="638" t="s">
        <v>114</v>
      </c>
      <c r="Q60" s="695" t="e">
        <f>AK36</f>
        <v>#DIV/0!</v>
      </c>
      <c r="R60" s="646" t="s">
        <v>114</v>
      </c>
      <c r="S60" s="698" t="e">
        <f>AM36</f>
        <v>#DIV/0!</v>
      </c>
      <c r="T60" s="654" t="s">
        <v>114</v>
      </c>
      <c r="U60" s="701" t="e">
        <f>AO36</f>
        <v>#DIV/0!</v>
      </c>
      <c r="V60" s="662" t="s">
        <v>114</v>
      </c>
      <c r="W60" s="704" t="e">
        <f>AQ36</f>
        <v>#DIV/0!</v>
      </c>
      <c r="X60" s="282" t="s">
        <v>114</v>
      </c>
      <c r="Y60" s="1"/>
      <c r="Z60" s="1"/>
      <c r="AA60" s="1"/>
      <c r="AB60" s="1"/>
      <c r="AC60" s="1"/>
      <c r="AD60" s="1"/>
      <c r="AE60" s="1"/>
      <c r="AF60" s="1"/>
      <c r="AG60" s="1"/>
      <c r="AH60" s="1"/>
      <c r="AI60" s="6"/>
      <c r="AJ60" s="6"/>
      <c r="AK60" s="16"/>
      <c r="AL60" s="16"/>
      <c r="AM60" s="17"/>
      <c r="AN60" s="17"/>
      <c r="AO60" s="18"/>
      <c r="AP60" s="18"/>
      <c r="AQ60" s="19"/>
      <c r="AR60" s="19"/>
      <c r="AS60" s="11"/>
      <c r="AT60" s="11"/>
      <c r="AU60" s="1"/>
      <c r="AV60" s="1"/>
      <c r="AW60" s="1"/>
      <c r="AX60" s="1"/>
      <c r="AY60" s="1"/>
      <c r="AZ60" s="1"/>
    </row>
    <row r="61" spans="1:52" s="12" customFormat="1" ht="14.4" customHeight="1" x14ac:dyDescent="0.3">
      <c r="A61" s="1"/>
      <c r="B61" s="1"/>
      <c r="C61" s="1"/>
      <c r="D61" s="1"/>
      <c r="E61" s="215"/>
      <c r="F61" s="46"/>
      <c r="G61" s="46"/>
      <c r="H61" s="46"/>
      <c r="I61" s="48"/>
      <c r="J61" s="48" t="s">
        <v>30</v>
      </c>
      <c r="K61" s="784">
        <f>I22</f>
        <v>0</v>
      </c>
      <c r="L61" s="783" t="s">
        <v>114</v>
      </c>
      <c r="M61" s="48"/>
      <c r="N61" s="48"/>
      <c r="O61" s="684">
        <f>K61</f>
        <v>0</v>
      </c>
      <c r="P61" s="638" t="s">
        <v>114</v>
      </c>
      <c r="Q61" s="685">
        <f>K61</f>
        <v>0</v>
      </c>
      <c r="R61" s="646" t="s">
        <v>114</v>
      </c>
      <c r="S61" s="686">
        <f>K61</f>
        <v>0</v>
      </c>
      <c r="T61" s="654" t="s">
        <v>114</v>
      </c>
      <c r="U61" s="687">
        <f>K61</f>
        <v>0</v>
      </c>
      <c r="V61" s="662" t="s">
        <v>114</v>
      </c>
      <c r="W61" s="688">
        <f>K61</f>
        <v>0</v>
      </c>
      <c r="X61" s="282" t="s">
        <v>114</v>
      </c>
      <c r="Y61" s="1"/>
      <c r="Z61" s="1"/>
      <c r="AA61" s="1" t="s">
        <v>150</v>
      </c>
      <c r="AB61" s="1" t="s">
        <v>151</v>
      </c>
      <c r="AC61" s="1"/>
      <c r="AD61" s="1"/>
      <c r="AE61" s="1"/>
      <c r="AF61" s="1"/>
      <c r="AG61" s="1"/>
      <c r="AH61" s="1"/>
      <c r="AI61" s="6"/>
      <c r="AJ61" s="6"/>
      <c r="AK61" s="16"/>
      <c r="AL61" s="16"/>
      <c r="AM61" s="17"/>
      <c r="AN61" s="17"/>
      <c r="AO61" s="18"/>
      <c r="AP61" s="18"/>
      <c r="AQ61" s="19"/>
      <c r="AR61" s="19"/>
      <c r="AS61" s="11"/>
      <c r="AT61" s="11"/>
      <c r="AU61" s="1"/>
      <c r="AV61" s="1"/>
      <c r="AW61" s="1"/>
      <c r="AX61" s="1"/>
      <c r="AY61" s="1"/>
      <c r="AZ61" s="1"/>
    </row>
    <row r="62" spans="1:52" s="12" customFormat="1" ht="14.4" customHeight="1" x14ac:dyDescent="0.3">
      <c r="A62" s="1"/>
      <c r="B62" s="1"/>
      <c r="C62" s="1"/>
      <c r="D62" s="1"/>
      <c r="E62" s="218"/>
      <c r="F62" s="22"/>
      <c r="G62" s="22"/>
      <c r="H62" s="22"/>
      <c r="I62" s="39"/>
      <c r="J62" s="39" t="s">
        <v>147</v>
      </c>
      <c r="K62" s="787" t="e">
        <f>K61/K58</f>
        <v>#DIV/0!</v>
      </c>
      <c r="L62" s="783" t="s">
        <v>114</v>
      </c>
      <c r="M62" s="39"/>
      <c r="N62" s="39"/>
      <c r="O62" s="705"/>
      <c r="P62" s="765" t="s">
        <v>114</v>
      </c>
      <c r="Q62" s="705"/>
      <c r="R62" s="767" t="s">
        <v>114</v>
      </c>
      <c r="S62" s="705"/>
      <c r="T62" s="770" t="s">
        <v>114</v>
      </c>
      <c r="U62" s="705"/>
      <c r="V62" s="773" t="s">
        <v>114</v>
      </c>
      <c r="W62" s="705"/>
      <c r="X62" s="282" t="s">
        <v>114</v>
      </c>
      <c r="Y62" s="1"/>
      <c r="Z62" s="1"/>
      <c r="AA62" s="1" t="b">
        <v>1</v>
      </c>
      <c r="AB62" s="1" t="b">
        <v>0</v>
      </c>
      <c r="AC62" s="1"/>
      <c r="AD62" s="1"/>
      <c r="AE62" s="1"/>
      <c r="AF62" s="1"/>
      <c r="AG62" s="1"/>
      <c r="AH62" s="1"/>
      <c r="AI62" s="6"/>
      <c r="AJ62" s="6"/>
      <c r="AK62" s="16"/>
      <c r="AL62" s="16"/>
      <c r="AM62" s="17"/>
      <c r="AN62" s="17"/>
      <c r="AO62" s="18"/>
      <c r="AP62" s="18"/>
      <c r="AQ62" s="19"/>
      <c r="AR62" s="19"/>
      <c r="AS62" s="11"/>
      <c r="AT62" s="11"/>
      <c r="AU62" s="1"/>
      <c r="AV62" s="1"/>
      <c r="AW62" s="1"/>
      <c r="AX62" s="1"/>
      <c r="AY62" s="1"/>
      <c r="AZ62" s="1"/>
    </row>
    <row r="63" spans="1:52" s="12" customFormat="1" ht="14.4" customHeight="1" x14ac:dyDescent="0.3">
      <c r="A63" s="1"/>
      <c r="B63" s="1"/>
      <c r="C63" s="1"/>
      <c r="D63" s="151"/>
      <c r="E63" s="244"/>
      <c r="F63" s="72"/>
      <c r="G63" s="72"/>
      <c r="H63" s="72"/>
      <c r="I63" s="74"/>
      <c r="J63" s="74" t="s">
        <v>51</v>
      </c>
      <c r="K63" s="787" t="e">
        <f>K62/$I27</f>
        <v>#DIV/0!</v>
      </c>
      <c r="L63" s="783" t="s">
        <v>114</v>
      </c>
      <c r="M63" s="39"/>
      <c r="N63" s="39"/>
      <c r="O63" s="694" t="e">
        <f>O62/$I27</f>
        <v>#DIV/0!</v>
      </c>
      <c r="P63" s="765" t="s">
        <v>114</v>
      </c>
      <c r="Q63" s="696" t="e">
        <f>Q62/$I27</f>
        <v>#DIV/0!</v>
      </c>
      <c r="R63" s="767" t="s">
        <v>114</v>
      </c>
      <c r="S63" s="699" t="e">
        <f>S62/$I27</f>
        <v>#DIV/0!</v>
      </c>
      <c r="T63" s="770" t="s">
        <v>114</v>
      </c>
      <c r="U63" s="702" t="e">
        <f>U62/$I27</f>
        <v>#DIV/0!</v>
      </c>
      <c r="V63" s="773" t="s">
        <v>114</v>
      </c>
      <c r="W63" s="706" t="e">
        <f>W62/$I27</f>
        <v>#DIV/0!</v>
      </c>
      <c r="X63" s="776" t="s">
        <v>114</v>
      </c>
      <c r="Y63" s="1"/>
      <c r="Z63" s="1"/>
      <c r="AA63" s="212" t="s">
        <v>148</v>
      </c>
      <c r="AB63" s="212" t="s">
        <v>149</v>
      </c>
      <c r="AC63" s="1"/>
      <c r="AD63" s="1"/>
      <c r="AE63" s="1"/>
      <c r="AF63" s="1"/>
      <c r="AG63" s="1"/>
      <c r="AH63" s="1"/>
      <c r="AI63" s="6"/>
      <c r="AJ63" s="6"/>
      <c r="AK63" s="16"/>
      <c r="AL63" s="16"/>
      <c r="AM63" s="17"/>
      <c r="AN63" s="17"/>
      <c r="AO63" s="18"/>
      <c r="AP63" s="18"/>
      <c r="AQ63" s="19"/>
      <c r="AR63" s="19"/>
      <c r="AS63" s="11"/>
      <c r="AT63" s="11"/>
      <c r="AU63" s="1"/>
      <c r="AV63" s="1"/>
      <c r="AW63" s="1"/>
      <c r="AX63" s="1"/>
      <c r="AY63" s="1"/>
      <c r="AZ63" s="1"/>
    </row>
    <row r="64" spans="1:52" s="12" customFormat="1" ht="14.4" customHeight="1" x14ac:dyDescent="0.3">
      <c r="A64" s="1"/>
      <c r="B64" s="1"/>
      <c r="C64" s="215"/>
      <c r="D64" s="46"/>
      <c r="E64" s="46"/>
      <c r="F64" s="46"/>
      <c r="G64" s="46"/>
      <c r="H64" s="46"/>
      <c r="I64" s="46"/>
      <c r="J64" s="48" t="s">
        <v>106</v>
      </c>
      <c r="K64" s="754"/>
      <c r="L64" s="783" t="s">
        <v>34</v>
      </c>
      <c r="M64" s="780" t="str">
        <f>IF(AA64&lt;14,"CAUTION!","OK")</f>
        <v>CAUTION!</v>
      </c>
      <c r="N64" s="48"/>
      <c r="O64" s="754"/>
      <c r="P64" s="766" t="s">
        <v>114</v>
      </c>
      <c r="Q64" s="754"/>
      <c r="R64" s="515" t="s">
        <v>114</v>
      </c>
      <c r="S64" s="754"/>
      <c r="T64" s="418" t="s">
        <v>114</v>
      </c>
      <c r="U64" s="754"/>
      <c r="V64" s="524" t="s">
        <v>114</v>
      </c>
      <c r="W64" s="754"/>
      <c r="X64" s="330" t="s">
        <v>114</v>
      </c>
      <c r="Y64" s="1"/>
      <c r="Z64" s="1"/>
      <c r="AA64" s="245">
        <f>MIN(K64,O64,Q64,S64,U64,W64)</f>
        <v>0</v>
      </c>
      <c r="AB64" s="245">
        <f>MAX(K64,O64,Q64,S64,U64,W64,)</f>
        <v>0</v>
      </c>
      <c r="AC64" s="1"/>
      <c r="AD64" s="1"/>
      <c r="AE64" s="1"/>
      <c r="AF64" s="1"/>
      <c r="AG64" s="1"/>
      <c r="AH64" s="1"/>
      <c r="AI64" s="6"/>
      <c r="AJ64" s="6"/>
      <c r="AK64" s="16"/>
      <c r="AL64" s="16"/>
      <c r="AM64" s="17"/>
      <c r="AN64" s="17"/>
      <c r="AO64" s="18"/>
      <c r="AP64" s="18"/>
      <c r="AQ64" s="19"/>
      <c r="AR64" s="19"/>
      <c r="AS64" s="11"/>
      <c r="AT64" s="11"/>
      <c r="AU64" s="1"/>
      <c r="AV64" s="1"/>
      <c r="AW64" s="1"/>
      <c r="AX64" s="1"/>
      <c r="AY64" s="1"/>
      <c r="AZ64" s="1"/>
    </row>
    <row r="65" spans="1:52" s="12" customFormat="1" ht="14.4" customHeight="1" x14ac:dyDescent="0.3">
      <c r="A65" s="40"/>
      <c r="B65" s="40"/>
      <c r="C65" s="242"/>
      <c r="D65" s="246"/>
      <c r="E65" s="246"/>
      <c r="F65" s="246"/>
      <c r="G65" s="246"/>
      <c r="H65" s="246"/>
      <c r="I65" s="246"/>
      <c r="J65" s="39" t="s">
        <v>110</v>
      </c>
      <c r="K65" s="754"/>
      <c r="L65" s="783" t="s">
        <v>34</v>
      </c>
      <c r="M65" s="780" t="str">
        <f>IF(AA65&lt;14,"CAUTION!","OK")</f>
        <v>CAUTION!</v>
      </c>
      <c r="N65" s="39"/>
      <c r="O65" s="754"/>
      <c r="P65" s="766" t="s">
        <v>114</v>
      </c>
      <c r="Q65" s="754"/>
      <c r="R65" s="515" t="s">
        <v>114</v>
      </c>
      <c r="S65" s="754"/>
      <c r="T65" s="418" t="s">
        <v>114</v>
      </c>
      <c r="U65" s="754"/>
      <c r="V65" s="524" t="s">
        <v>114</v>
      </c>
      <c r="W65" s="754"/>
      <c r="X65" s="330" t="s">
        <v>114</v>
      </c>
      <c r="Y65" s="1"/>
      <c r="Z65" s="1"/>
      <c r="AA65" s="245">
        <f>MIN(K65,O65,Q65,S65,U65,W65)</f>
        <v>0</v>
      </c>
      <c r="AB65" s="245">
        <f>MAX(K65,O65,Q65,S65,U65,W65,)</f>
        <v>0</v>
      </c>
      <c r="AC65" s="1"/>
      <c r="AD65" s="1"/>
      <c r="AE65" s="1"/>
      <c r="AF65" s="1"/>
      <c r="AG65" s="1"/>
      <c r="AH65" s="1"/>
      <c r="AI65" s="6"/>
      <c r="AJ65" s="6"/>
      <c r="AK65" s="16"/>
      <c r="AL65" s="16"/>
      <c r="AM65" s="17"/>
      <c r="AN65" s="17"/>
      <c r="AO65" s="18"/>
      <c r="AP65" s="18"/>
      <c r="AQ65" s="19"/>
      <c r="AR65" s="19"/>
      <c r="AS65" s="11"/>
      <c r="AT65" s="11"/>
      <c r="AU65" s="1"/>
      <c r="AV65" s="1"/>
      <c r="AW65" s="1"/>
      <c r="AX65" s="1"/>
      <c r="AY65" s="1"/>
      <c r="AZ65" s="1"/>
    </row>
    <row r="66" spans="1:52" s="12" customFormat="1" ht="14.4" customHeight="1" x14ac:dyDescent="0.3">
      <c r="A66" s="1"/>
      <c r="B66" s="1"/>
      <c r="C66" s="219"/>
      <c r="D66" s="72"/>
      <c r="E66" s="72"/>
      <c r="F66" s="72"/>
      <c r="G66" s="72"/>
      <c r="H66" s="72"/>
      <c r="I66" s="72"/>
      <c r="J66" s="74" t="s">
        <v>99</v>
      </c>
      <c r="K66" s="754"/>
      <c r="L66" s="783" t="s">
        <v>34</v>
      </c>
      <c r="M66" s="780" t="str">
        <f>IF(AA66&lt;14,"CAUTION!","OK")</f>
        <v>CAUTION!</v>
      </c>
      <c r="N66" s="74"/>
      <c r="O66" s="754"/>
      <c r="P66" s="766" t="s">
        <v>114</v>
      </c>
      <c r="Q66" s="754"/>
      <c r="R66" s="515" t="s">
        <v>114</v>
      </c>
      <c r="S66" s="754"/>
      <c r="T66" s="418" t="s">
        <v>114</v>
      </c>
      <c r="U66" s="754"/>
      <c r="V66" s="524" t="s">
        <v>114</v>
      </c>
      <c r="W66" s="754"/>
      <c r="X66" s="330" t="s">
        <v>114</v>
      </c>
      <c r="Y66" s="1"/>
      <c r="Z66" s="1"/>
      <c r="AA66" s="245">
        <f>MIN(K66,O66,Q66,S66,U66,W66)</f>
        <v>0</v>
      </c>
      <c r="AB66" s="245">
        <f>MAX(K66,O66,Q66,S66,U66,W66,)</f>
        <v>0</v>
      </c>
      <c r="AC66" s="1"/>
      <c r="AD66" s="1"/>
      <c r="AE66" s="1"/>
      <c r="AF66" s="1"/>
      <c r="AG66" s="1"/>
      <c r="AH66" s="1"/>
      <c r="AI66" s="6"/>
      <c r="AJ66" s="6"/>
      <c r="AK66" s="16"/>
      <c r="AL66" s="16"/>
      <c r="AM66" s="17"/>
      <c r="AN66" s="17"/>
      <c r="AO66" s="18"/>
      <c r="AP66" s="18"/>
      <c r="AQ66" s="19"/>
      <c r="AR66" s="19"/>
      <c r="AS66" s="11"/>
      <c r="AT66" s="11"/>
      <c r="AU66" s="1"/>
      <c r="AV66" s="1"/>
      <c r="AW66" s="1"/>
      <c r="AX66" s="1"/>
      <c r="AY66" s="1"/>
      <c r="AZ66" s="1"/>
    </row>
    <row r="67" spans="1:52" s="12" customFormat="1" ht="14.4" customHeight="1" x14ac:dyDescent="0.3">
      <c r="A67" s="1"/>
      <c r="B67" s="1"/>
      <c r="C67" s="1"/>
      <c r="D67" s="1"/>
      <c r="E67" s="215"/>
      <c r="F67" s="46"/>
      <c r="G67" s="46"/>
      <c r="H67" s="46"/>
      <c r="I67" s="46"/>
      <c r="J67" s="48" t="s">
        <v>108</v>
      </c>
      <c r="K67" s="247" t="e">
        <f>I36*K64</f>
        <v>#DIV/0!</v>
      </c>
      <c r="L67" s="385" t="s">
        <v>34</v>
      </c>
      <c r="M67" s="46"/>
      <c r="N67" s="48"/>
      <c r="O67" s="777" t="e">
        <f>O64*AI36</f>
        <v>#DIV/0!</v>
      </c>
      <c r="P67" s="638" t="s">
        <v>34</v>
      </c>
      <c r="Q67" s="685" t="e">
        <f>Q64*AK36</f>
        <v>#DIV/0!</v>
      </c>
      <c r="R67" s="768" t="s">
        <v>34</v>
      </c>
      <c r="S67" s="686" t="e">
        <f>S64*AM36</f>
        <v>#DIV/0!</v>
      </c>
      <c r="T67" s="771" t="s">
        <v>34</v>
      </c>
      <c r="U67" s="687" t="e">
        <f>U64*AO36</f>
        <v>#DIV/0!</v>
      </c>
      <c r="V67" s="774" t="s">
        <v>34</v>
      </c>
      <c r="W67" s="688" t="e">
        <f>W64*AQ36</f>
        <v>#DIV/0!</v>
      </c>
      <c r="X67" s="330" t="s">
        <v>34</v>
      </c>
      <c r="Y67" s="1"/>
      <c r="Z67" s="1"/>
      <c r="AA67" s="1"/>
      <c r="AB67" s="1"/>
      <c r="AC67" s="1"/>
      <c r="AD67" s="1"/>
      <c r="AE67" s="1"/>
      <c r="AF67" s="1"/>
      <c r="AG67" s="1"/>
      <c r="AH67" s="1"/>
      <c r="AI67" s="6"/>
      <c r="AJ67" s="6"/>
      <c r="AK67" s="16"/>
      <c r="AL67" s="16"/>
      <c r="AM67" s="17"/>
      <c r="AN67" s="17"/>
      <c r="AO67" s="18"/>
      <c r="AP67" s="18"/>
      <c r="AQ67" s="19"/>
      <c r="AR67" s="19"/>
      <c r="AS67" s="11"/>
      <c r="AT67" s="11"/>
      <c r="AU67" s="1"/>
      <c r="AV67" s="1"/>
      <c r="AW67" s="1"/>
      <c r="AX67" s="1"/>
      <c r="AY67" s="1"/>
      <c r="AZ67" s="1"/>
    </row>
    <row r="68" spans="1:52" s="12" customFormat="1" ht="14.4" customHeight="1" x14ac:dyDescent="0.3">
      <c r="A68" s="1"/>
      <c r="B68" s="1"/>
      <c r="C68" s="1"/>
      <c r="D68" s="231"/>
      <c r="E68" s="218"/>
      <c r="F68" s="22"/>
      <c r="G68" s="22"/>
      <c r="H68" s="22"/>
      <c r="I68" s="22"/>
      <c r="J68" s="39" t="s">
        <v>109</v>
      </c>
      <c r="K68" s="248" t="e">
        <f>(K65*I37)</f>
        <v>#DIV/0!</v>
      </c>
      <c r="L68" s="385" t="s">
        <v>34</v>
      </c>
      <c r="M68" s="22"/>
      <c r="N68" s="39"/>
      <c r="O68" s="778" t="e">
        <f>O65*AI37</f>
        <v>#DIV/0!</v>
      </c>
      <c r="P68" s="638" t="s">
        <v>34</v>
      </c>
      <c r="Q68" s="697" t="e">
        <f>Q65*AK37</f>
        <v>#DIV/0!</v>
      </c>
      <c r="R68" s="768" t="s">
        <v>34</v>
      </c>
      <c r="S68" s="700" t="e">
        <f>S65*AM37</f>
        <v>#DIV/0!</v>
      </c>
      <c r="T68" s="771" t="s">
        <v>34</v>
      </c>
      <c r="U68" s="703" t="e">
        <f>U65*AO37</f>
        <v>#DIV/0!</v>
      </c>
      <c r="V68" s="774" t="s">
        <v>34</v>
      </c>
      <c r="W68" s="707" t="e">
        <f>W65*AQ37</f>
        <v>#DIV/0!</v>
      </c>
      <c r="X68" s="330" t="s">
        <v>34</v>
      </c>
      <c r="Y68" s="1"/>
      <c r="Z68" s="1"/>
      <c r="AA68" s="1"/>
      <c r="AB68" s="1"/>
      <c r="AC68" s="1"/>
      <c r="AD68" s="1"/>
      <c r="AE68" s="1"/>
      <c r="AF68" s="1"/>
      <c r="AG68" s="1"/>
      <c r="AH68" s="1"/>
      <c r="AI68" s="6"/>
      <c r="AJ68" s="6"/>
      <c r="AK68" s="16"/>
      <c r="AL68" s="16"/>
      <c r="AM68" s="17"/>
      <c r="AN68" s="17"/>
      <c r="AO68" s="18"/>
      <c r="AP68" s="18"/>
      <c r="AQ68" s="19"/>
      <c r="AR68" s="19"/>
      <c r="AS68" s="11"/>
      <c r="AT68" s="11"/>
      <c r="AU68" s="1"/>
      <c r="AV68" s="1"/>
      <c r="AW68" s="1"/>
      <c r="AX68" s="1"/>
      <c r="AY68" s="1"/>
      <c r="AZ68" s="1"/>
    </row>
    <row r="69" spans="1:52" s="12" customFormat="1" ht="14.4" customHeight="1" thickBot="1" x14ac:dyDescent="0.35">
      <c r="A69" s="40"/>
      <c r="B69" s="40"/>
      <c r="C69" s="40"/>
      <c r="D69" s="40"/>
      <c r="E69" s="243"/>
      <c r="F69" s="220"/>
      <c r="G69" s="220"/>
      <c r="H69" s="220"/>
      <c r="I69" s="220"/>
      <c r="J69" s="74" t="s">
        <v>107</v>
      </c>
      <c r="K69" s="249" t="e">
        <f>K66*I38</f>
        <v>#DIV/0!</v>
      </c>
      <c r="L69" s="783" t="s">
        <v>34</v>
      </c>
      <c r="M69" s="72"/>
      <c r="N69" s="74"/>
      <c r="O69" s="779" t="e">
        <f>O66*AI38</f>
        <v>#DIV/0!</v>
      </c>
      <c r="P69" s="640" t="s">
        <v>34</v>
      </c>
      <c r="Q69" s="689" t="e">
        <f>Q66*AK38</f>
        <v>#DIV/0!</v>
      </c>
      <c r="R69" s="769" t="s">
        <v>34</v>
      </c>
      <c r="S69" s="690" t="e">
        <f>S66*AM38</f>
        <v>#DIV/0!</v>
      </c>
      <c r="T69" s="772" t="s">
        <v>34</v>
      </c>
      <c r="U69" s="691" t="e">
        <f>U66*AO38</f>
        <v>#DIV/0!</v>
      </c>
      <c r="V69" s="775" t="s">
        <v>34</v>
      </c>
      <c r="W69" s="692" t="e">
        <f>W66*AQ38</f>
        <v>#DIV/0!</v>
      </c>
      <c r="X69" s="339" t="s">
        <v>34</v>
      </c>
      <c r="Y69" s="1"/>
      <c r="Z69" s="1"/>
      <c r="AA69" s="1"/>
      <c r="AB69" s="1"/>
      <c r="AC69" s="1"/>
      <c r="AD69" s="1"/>
      <c r="AE69" s="1"/>
      <c r="AF69" s="1"/>
      <c r="AG69" s="1"/>
      <c r="AH69" s="1"/>
      <c r="AI69" s="6"/>
      <c r="AJ69" s="6"/>
      <c r="AK69" s="16"/>
      <c r="AL69" s="16"/>
      <c r="AM69" s="17"/>
      <c r="AN69" s="17"/>
      <c r="AO69" s="18"/>
      <c r="AP69" s="18"/>
      <c r="AQ69" s="19"/>
      <c r="AR69" s="19"/>
      <c r="AS69" s="11"/>
      <c r="AT69" s="11"/>
      <c r="AU69" s="1"/>
      <c r="AV69" s="1"/>
      <c r="AW69" s="1"/>
      <c r="AX69" s="1"/>
      <c r="AY69" s="1"/>
      <c r="AZ69" s="1"/>
    </row>
    <row r="70" spans="1:52" s="12" customFormat="1" ht="14.4" customHeight="1" thickBot="1" x14ac:dyDescent="0.35">
      <c r="A70" s="1"/>
      <c r="B70" s="1"/>
      <c r="C70" s="1"/>
      <c r="D70" s="1"/>
      <c r="E70" s="1"/>
      <c r="F70" s="40"/>
      <c r="G70" s="1"/>
      <c r="H70" s="1"/>
      <c r="I70" s="215"/>
      <c r="J70" s="48" t="s">
        <v>86</v>
      </c>
      <c r="K70" s="247" t="e">
        <f>K68+K67+K69</f>
        <v>#DIV/0!</v>
      </c>
      <c r="L70" s="783" t="s">
        <v>34</v>
      </c>
      <c r="M70" s="250"/>
      <c r="N70" s="48" t="s">
        <v>128</v>
      </c>
      <c r="O70" s="679" t="e">
        <f>O67+O68+O69</f>
        <v>#DIV/0!</v>
      </c>
      <c r="P70" s="757" t="s">
        <v>34</v>
      </c>
      <c r="Q70" s="758" t="e">
        <f>Q67+Q68+Q69</f>
        <v>#DIV/0!</v>
      </c>
      <c r="R70" s="759" t="s">
        <v>34</v>
      </c>
      <c r="S70" s="760" t="e">
        <f>S67+S68+S69</f>
        <v>#DIV/0!</v>
      </c>
      <c r="T70" s="761" t="s">
        <v>34</v>
      </c>
      <c r="U70" s="762" t="e">
        <f>U67+U68+U69</f>
        <v>#DIV/0!</v>
      </c>
      <c r="V70" s="763" t="s">
        <v>34</v>
      </c>
      <c r="W70" s="764" t="e">
        <f>W67+W68+W69</f>
        <v>#DIV/0!</v>
      </c>
      <c r="X70" s="342" t="s">
        <v>34</v>
      </c>
      <c r="Y70" s="38"/>
      <c r="Z70" s="1"/>
      <c r="AA70" s="1"/>
      <c r="AB70" s="1"/>
      <c r="AC70" s="1"/>
      <c r="AD70" s="1"/>
      <c r="AE70" s="1"/>
      <c r="AF70" s="1"/>
      <c r="AG70" s="1"/>
      <c r="AH70" s="1"/>
      <c r="AI70" s="6"/>
      <c r="AJ70" s="6"/>
      <c r="AK70" s="16"/>
      <c r="AL70" s="16"/>
      <c r="AM70" s="17"/>
      <c r="AN70" s="17"/>
      <c r="AO70" s="18"/>
      <c r="AP70" s="18"/>
      <c r="AQ70" s="19"/>
      <c r="AR70" s="19"/>
      <c r="AS70" s="11"/>
      <c r="AT70" s="11"/>
      <c r="AU70" s="1"/>
      <c r="AV70" s="1"/>
      <c r="AW70" s="1"/>
      <c r="AX70" s="1"/>
      <c r="AY70" s="1"/>
      <c r="AZ70" s="1"/>
    </row>
    <row r="71" spans="1:52" s="12" customFormat="1" ht="14.4" customHeight="1" thickBot="1" x14ac:dyDescent="0.35">
      <c r="A71" s="1"/>
      <c r="B71" s="231"/>
      <c r="C71" s="231"/>
      <c r="D71" s="1"/>
      <c r="E71" s="1"/>
      <c r="F71" s="40"/>
      <c r="G71" s="1"/>
      <c r="H71" s="1"/>
      <c r="I71" s="251" t="e">
        <f>K70/K71</f>
        <v>#DIV/0!</v>
      </c>
      <c r="J71" s="74" t="s">
        <v>136</v>
      </c>
      <c r="K71" s="788"/>
      <c r="L71" s="789" t="s">
        <v>76</v>
      </c>
      <c r="M71" s="72"/>
      <c r="N71" s="74"/>
      <c r="O71" s="74"/>
      <c r="P71" s="74"/>
      <c r="Q71" s="74"/>
      <c r="R71" s="74"/>
      <c r="S71" s="74"/>
      <c r="T71" s="74"/>
      <c r="U71" s="74"/>
      <c r="V71" s="74"/>
      <c r="W71" s="74"/>
      <c r="X71" s="75"/>
      <c r="Y71" s="38"/>
      <c r="Z71" s="1"/>
      <c r="AA71" s="1"/>
      <c r="AB71" s="1"/>
      <c r="AC71" s="1"/>
      <c r="AD71" s="1"/>
      <c r="AE71" s="1"/>
      <c r="AF71" s="1"/>
      <c r="AG71" s="1"/>
      <c r="AH71" s="1"/>
      <c r="AI71" s="6"/>
      <c r="AJ71" s="6"/>
      <c r="AK71" s="16"/>
      <c r="AL71" s="16"/>
      <c r="AM71" s="17"/>
      <c r="AN71" s="17"/>
      <c r="AO71" s="18"/>
      <c r="AP71" s="18"/>
      <c r="AQ71" s="19"/>
      <c r="AR71" s="19"/>
      <c r="AS71" s="11"/>
      <c r="AT71" s="11"/>
      <c r="AU71" s="1"/>
      <c r="AV71" s="1"/>
      <c r="AW71" s="1"/>
      <c r="AX71" s="1"/>
      <c r="AY71" s="1"/>
      <c r="AZ71" s="1"/>
    </row>
    <row r="72" spans="1:52" s="12" customFormat="1" ht="14.4" customHeight="1" thickBot="1" x14ac:dyDescent="0.35">
      <c r="A72" s="1"/>
      <c r="B72" s="231"/>
      <c r="C72" s="231"/>
      <c r="D72" s="1"/>
      <c r="E72" s="1"/>
      <c r="F72" s="40"/>
      <c r="G72" s="1"/>
      <c r="H72" s="1"/>
      <c r="I72" s="1"/>
      <c r="J72" s="39"/>
      <c r="K72" s="39"/>
      <c r="L72" s="39"/>
      <c r="M72" s="22"/>
      <c r="N72" s="39"/>
      <c r="O72" s="39"/>
      <c r="P72" s="39"/>
      <c r="Q72" s="39"/>
      <c r="R72" s="39"/>
      <c r="S72" s="39"/>
      <c r="T72" s="39"/>
      <c r="U72" s="39"/>
      <c r="V72" s="39"/>
      <c r="W72" s="39"/>
      <c r="X72" s="39"/>
      <c r="Y72" s="38"/>
      <c r="Z72" s="1"/>
      <c r="AA72" s="1"/>
      <c r="AB72" s="1"/>
      <c r="AC72" s="1"/>
      <c r="AD72" s="1"/>
      <c r="AE72" s="1"/>
      <c r="AF72" s="1"/>
      <c r="AG72" s="1"/>
      <c r="AH72" s="1"/>
      <c r="AI72" s="6"/>
      <c r="AJ72" s="6"/>
      <c r="AK72" s="16"/>
      <c r="AL72" s="16"/>
      <c r="AM72" s="17"/>
      <c r="AN72" s="17"/>
      <c r="AO72" s="18"/>
      <c r="AP72" s="18"/>
      <c r="AQ72" s="19"/>
      <c r="AR72" s="19"/>
      <c r="AS72" s="11"/>
      <c r="AT72" s="11"/>
      <c r="AU72" s="1"/>
      <c r="AV72" s="1"/>
      <c r="AW72" s="1"/>
      <c r="AX72" s="1"/>
      <c r="AY72" s="1"/>
      <c r="AZ72" s="1"/>
    </row>
    <row r="73" spans="1:52" s="12" customFormat="1" ht="14.4" customHeight="1" x14ac:dyDescent="0.3">
      <c r="A73" s="1"/>
      <c r="B73" s="1"/>
      <c r="C73" s="1"/>
      <c r="D73" s="1"/>
      <c r="E73" s="1"/>
      <c r="F73" s="215"/>
      <c r="G73" s="46"/>
      <c r="H73" s="46"/>
      <c r="I73" s="46"/>
      <c r="J73" s="48" t="s">
        <v>77</v>
      </c>
      <c r="K73" s="790" t="e">
        <f>I39</f>
        <v>#DIV/0!</v>
      </c>
      <c r="L73" s="791" t="s">
        <v>114</v>
      </c>
      <c r="M73" s="48"/>
      <c r="N73" s="48"/>
      <c r="O73" s="678" t="e">
        <f>AI39</f>
        <v>#DIV/0!</v>
      </c>
      <c r="P73" s="636" t="s">
        <v>114</v>
      </c>
      <c r="Q73" s="670" t="e">
        <f>AK39</f>
        <v>#DIV/0!</v>
      </c>
      <c r="R73" s="794" t="s">
        <v>114</v>
      </c>
      <c r="S73" s="672" t="e">
        <f>AM39</f>
        <v>#DIV/0!</v>
      </c>
      <c r="T73" s="795" t="s">
        <v>114</v>
      </c>
      <c r="U73" s="674" t="e">
        <f>AO39</f>
        <v>#DIV/0!</v>
      </c>
      <c r="V73" s="796" t="s">
        <v>114</v>
      </c>
      <c r="W73" s="676" t="e">
        <f>AQ39</f>
        <v>#DIV/0!</v>
      </c>
      <c r="X73" s="755" t="s">
        <v>114</v>
      </c>
      <c r="Y73" s="1"/>
      <c r="Z73" s="1"/>
      <c r="AA73" s="1"/>
      <c r="AB73" s="1"/>
      <c r="AC73" s="1"/>
      <c r="AD73" s="1"/>
      <c r="AE73" s="1"/>
      <c r="AF73" s="1"/>
      <c r="AG73" s="1"/>
      <c r="AH73" s="1"/>
      <c r="AI73" s="6"/>
      <c r="AJ73" s="6"/>
      <c r="AK73" s="16"/>
      <c r="AL73" s="16"/>
      <c r="AM73" s="17"/>
      <c r="AN73" s="17"/>
      <c r="AO73" s="18"/>
      <c r="AP73" s="18"/>
      <c r="AQ73" s="19"/>
      <c r="AR73" s="19"/>
      <c r="AS73" s="11"/>
      <c r="AT73" s="11"/>
      <c r="AU73" s="1"/>
      <c r="AV73" s="1"/>
      <c r="AW73" s="1"/>
      <c r="AX73" s="1"/>
      <c r="AY73" s="1"/>
      <c r="AZ73" s="1"/>
    </row>
    <row r="74" spans="1:52" s="12" customFormat="1" ht="14.4" customHeight="1" thickBot="1" x14ac:dyDescent="0.35">
      <c r="A74" s="1"/>
      <c r="B74" s="1"/>
      <c r="C74" s="1"/>
      <c r="D74" s="1"/>
      <c r="E74" s="1"/>
      <c r="F74" s="219"/>
      <c r="G74" s="72"/>
      <c r="H74" s="72"/>
      <c r="I74" s="72"/>
      <c r="J74" s="74" t="s">
        <v>122</v>
      </c>
      <c r="K74" s="792" t="e">
        <f>I37+I38+I36</f>
        <v>#DIV/0!</v>
      </c>
      <c r="L74" s="793" t="s">
        <v>114</v>
      </c>
      <c r="M74" s="74"/>
      <c r="N74" s="74"/>
      <c r="O74" s="679" t="e">
        <f>AI36+AI38+AI37</f>
        <v>#DIV/0!</v>
      </c>
      <c r="P74" s="640" t="s">
        <v>114</v>
      </c>
      <c r="Q74" s="671" t="e">
        <f>AK36+AK38+AK37</f>
        <v>#DIV/0!</v>
      </c>
      <c r="R74" s="769" t="s">
        <v>114</v>
      </c>
      <c r="S74" s="673" t="e">
        <f>AM36+AM38+AM37</f>
        <v>#DIV/0!</v>
      </c>
      <c r="T74" s="772" t="s">
        <v>114</v>
      </c>
      <c r="U74" s="675" t="e">
        <f>AO36+AO38+AO37</f>
        <v>#DIV/0!</v>
      </c>
      <c r="V74" s="775" t="s">
        <v>114</v>
      </c>
      <c r="W74" s="677" t="e">
        <f>AQ36+AQ38+AQ37</f>
        <v>#DIV/0!</v>
      </c>
      <c r="X74" s="756" t="s">
        <v>114</v>
      </c>
      <c r="Y74" s="1"/>
      <c r="Z74" s="1"/>
      <c r="AA74" s="1"/>
      <c r="AB74" s="1"/>
      <c r="AC74" s="1"/>
      <c r="AD74" s="1"/>
      <c r="AE74" s="1"/>
      <c r="AF74" s="1"/>
      <c r="AG74" s="1"/>
      <c r="AH74" s="1"/>
      <c r="AI74" s="6"/>
      <c r="AJ74" s="6"/>
      <c r="AK74" s="16"/>
      <c r="AL74" s="16"/>
      <c r="AM74" s="17"/>
      <c r="AN74" s="17"/>
      <c r="AO74" s="18"/>
      <c r="AP74" s="18"/>
      <c r="AQ74" s="19"/>
      <c r="AR74" s="19"/>
      <c r="AS74" s="11"/>
      <c r="AT74" s="11"/>
      <c r="AU74" s="1"/>
      <c r="AV74" s="1"/>
      <c r="AW74" s="1"/>
      <c r="AX74" s="1"/>
      <c r="AY74" s="1"/>
      <c r="AZ74" s="1"/>
    </row>
    <row r="75" spans="1:52" s="12" customFormat="1" ht="14.4" customHeight="1" x14ac:dyDescent="0.3">
      <c r="A75" s="1"/>
      <c r="B75" s="1"/>
      <c r="C75" s="1"/>
      <c r="D75" s="1"/>
      <c r="E75" s="1"/>
      <c r="F75" s="22"/>
      <c r="G75" s="22"/>
      <c r="H75" s="22"/>
      <c r="I75" s="22"/>
      <c r="J75" s="39"/>
      <c r="K75" s="39"/>
      <c r="L75" s="39"/>
      <c r="M75" s="39"/>
      <c r="N75" s="39"/>
      <c r="O75" s="39"/>
      <c r="P75" s="39"/>
      <c r="Q75" s="39"/>
      <c r="R75" s="39"/>
      <c r="S75" s="39"/>
      <c r="T75" s="39"/>
      <c r="U75" s="39"/>
      <c r="V75" s="39"/>
      <c r="W75" s="39"/>
      <c r="X75" s="39"/>
      <c r="Y75" s="1"/>
      <c r="Z75" s="1"/>
      <c r="AA75" s="1"/>
      <c r="AB75" s="1"/>
      <c r="AC75" s="1"/>
      <c r="AD75" s="1"/>
      <c r="AE75" s="1"/>
      <c r="AF75" s="1"/>
      <c r="AG75" s="1"/>
      <c r="AH75" s="1"/>
      <c r="AI75" s="6"/>
      <c r="AJ75" s="6"/>
      <c r="AK75" s="16"/>
      <c r="AL75" s="16"/>
      <c r="AM75" s="17"/>
      <c r="AN75" s="17"/>
      <c r="AO75" s="18"/>
      <c r="AP75" s="18"/>
      <c r="AQ75" s="19"/>
      <c r="AR75" s="19"/>
      <c r="AS75" s="11"/>
      <c r="AT75" s="11"/>
      <c r="AU75" s="1"/>
      <c r="AV75" s="1"/>
      <c r="AW75" s="1"/>
      <c r="AX75" s="1"/>
      <c r="AY75" s="1"/>
      <c r="AZ75" s="1"/>
    </row>
    <row r="76" spans="1:52" s="12" customFormat="1" ht="14.4" customHeight="1" thickBot="1" x14ac:dyDescent="0.35">
      <c r="A76" s="1"/>
      <c r="B76" s="42" t="s">
        <v>227</v>
      </c>
      <c r="C76" s="1"/>
      <c r="D76" s="1"/>
      <c r="E76" s="1"/>
      <c r="F76" s="1"/>
      <c r="G76" s="1"/>
      <c r="H76" s="1"/>
      <c r="J76" s="1"/>
      <c r="K76" s="1"/>
      <c r="L76" s="1"/>
      <c r="M76" s="1"/>
      <c r="N76" s="1"/>
      <c r="O76" s="1"/>
      <c r="P76" s="1"/>
      <c r="Q76" s="1"/>
      <c r="R76" s="1"/>
      <c r="S76" s="1"/>
      <c r="T76" s="1"/>
      <c r="U76" s="1"/>
      <c r="V76" s="1"/>
      <c r="W76" s="1"/>
      <c r="X76" s="1"/>
      <c r="Y76" s="1"/>
      <c r="Z76" s="1"/>
      <c r="AA76" s="1"/>
      <c r="AB76" s="1"/>
      <c r="AC76" s="1"/>
      <c r="AD76" s="1"/>
      <c r="AE76" s="1"/>
      <c r="AF76" s="1"/>
      <c r="AG76" s="1"/>
      <c r="AH76" s="1"/>
      <c r="AI76" s="6"/>
      <c r="AJ76" s="6"/>
      <c r="AK76" s="16"/>
      <c r="AL76" s="16"/>
      <c r="AM76" s="17"/>
      <c r="AN76" s="17"/>
      <c r="AO76" s="18"/>
      <c r="AP76" s="18"/>
      <c r="AQ76" s="19"/>
      <c r="AR76" s="19"/>
      <c r="AS76" s="11"/>
      <c r="AT76" s="11"/>
      <c r="AU76" s="1"/>
      <c r="AV76" s="1"/>
      <c r="AW76" s="1"/>
      <c r="AX76" s="1"/>
      <c r="AY76" s="1"/>
      <c r="AZ76" s="1"/>
    </row>
    <row r="77" spans="1:52" s="12" customFormat="1" ht="14.4" customHeight="1" x14ac:dyDescent="0.3">
      <c r="A77" s="1"/>
      <c r="B77" s="1"/>
      <c r="C77" s="1"/>
      <c r="D77" s="1"/>
      <c r="E77" s="1"/>
      <c r="F77" s="14"/>
      <c r="G77" s="13"/>
      <c r="H77" s="252"/>
      <c r="I77" s="252"/>
      <c r="J77" s="252"/>
      <c r="K77" s="252"/>
      <c r="L77" s="252"/>
      <c r="M77" s="252" t="s">
        <v>139</v>
      </c>
      <c r="N77" s="253"/>
      <c r="O77" s="680" t="e">
        <f>($K70-O68-O67-O69)</f>
        <v>#DIV/0!</v>
      </c>
      <c r="P77" s="744" t="s">
        <v>34</v>
      </c>
      <c r="Q77" s="711" t="e">
        <f>($K70-Q68-Q67-Q69)</f>
        <v>#DIV/0!</v>
      </c>
      <c r="R77" s="745" t="s">
        <v>34</v>
      </c>
      <c r="S77" s="720" t="e">
        <f>($K70-S68-S67-S69)</f>
        <v>#DIV/0!</v>
      </c>
      <c r="T77" s="746" t="s">
        <v>34</v>
      </c>
      <c r="U77" s="728" t="e">
        <f>($K70-U68-U67-U69)</f>
        <v>#DIV/0!</v>
      </c>
      <c r="V77" s="747" t="s">
        <v>34</v>
      </c>
      <c r="W77" s="736" t="e">
        <f>($K70-W68-W67-W69)</f>
        <v>#DIV/0!</v>
      </c>
      <c r="X77" s="748" t="s">
        <v>34</v>
      </c>
      <c r="Y77" s="1"/>
      <c r="Z77" s="1"/>
      <c r="AA77" s="1"/>
      <c r="AB77" s="1"/>
      <c r="AC77" s="1"/>
      <c r="AD77" s="1"/>
      <c r="AE77" s="1"/>
      <c r="AF77" s="1"/>
      <c r="AG77" s="1"/>
      <c r="AH77" s="1"/>
      <c r="AI77" s="6"/>
      <c r="AJ77" s="6"/>
      <c r="AK77" s="16"/>
      <c r="AL77" s="16"/>
      <c r="AM77" s="17"/>
      <c r="AN77" s="17"/>
      <c r="AO77" s="18"/>
      <c r="AP77" s="18"/>
      <c r="AQ77" s="19"/>
      <c r="AR77" s="19"/>
      <c r="AS77" s="11"/>
      <c r="AT77" s="11"/>
      <c r="AU77" s="1"/>
      <c r="AV77" s="1"/>
      <c r="AW77" s="1"/>
      <c r="AX77" s="1"/>
      <c r="AY77" s="1"/>
      <c r="AZ77" s="1"/>
    </row>
    <row r="78" spans="1:52" s="12" customFormat="1" ht="14.4" customHeight="1" x14ac:dyDescent="0.3">
      <c r="A78" s="1"/>
      <c r="B78" s="1"/>
      <c r="C78" s="1"/>
      <c r="D78" s="254"/>
      <c r="E78" s="1"/>
      <c r="F78" s="21"/>
      <c r="G78" s="22"/>
      <c r="H78" s="39"/>
      <c r="I78" s="39"/>
      <c r="J78" s="39"/>
      <c r="K78" s="39"/>
      <c r="L78" s="39"/>
      <c r="M78" s="39" t="s">
        <v>70</v>
      </c>
      <c r="N78" s="255"/>
      <c r="O78" s="681" t="e">
        <f>O77/($K70-O77)</f>
        <v>#DIV/0!</v>
      </c>
      <c r="P78" s="717"/>
      <c r="Q78" s="712" t="e">
        <f>Q77/($K70-Q77)</f>
        <v>#DIV/0!</v>
      </c>
      <c r="R78" s="726"/>
      <c r="S78" s="721" t="e">
        <f>S77/($K70-S77)</f>
        <v>#DIV/0!</v>
      </c>
      <c r="T78" s="734"/>
      <c r="U78" s="729" t="e">
        <f>U77/($K70-U77)</f>
        <v>#DIV/0!</v>
      </c>
      <c r="V78" s="742"/>
      <c r="W78" s="737" t="e">
        <f>W77/($K70-W77)</f>
        <v>#DIV/0!</v>
      </c>
      <c r="X78" s="749"/>
      <c r="Y78" s="1"/>
      <c r="Z78" s="1"/>
      <c r="AA78" s="1"/>
      <c r="AB78" s="1"/>
      <c r="AC78" s="1"/>
      <c r="AD78" s="1"/>
      <c r="AE78" s="1"/>
      <c r="AF78" s="1"/>
      <c r="AG78" s="1"/>
      <c r="AH78" s="1"/>
      <c r="AI78" s="6"/>
      <c r="AJ78" s="6"/>
      <c r="AK78" s="16"/>
      <c r="AL78" s="16"/>
      <c r="AM78" s="17"/>
      <c r="AN78" s="17"/>
      <c r="AO78" s="18"/>
      <c r="AP78" s="18"/>
      <c r="AQ78" s="19"/>
      <c r="AR78" s="19"/>
      <c r="AS78" s="11"/>
      <c r="AT78" s="11"/>
      <c r="AU78" s="1"/>
      <c r="AV78" s="1"/>
      <c r="AW78" s="1"/>
      <c r="AX78" s="1"/>
      <c r="AY78" s="1"/>
      <c r="AZ78" s="1"/>
    </row>
    <row r="79" spans="1:52" s="12" customFormat="1" ht="14.4" customHeight="1" x14ac:dyDescent="0.3">
      <c r="A79" s="1"/>
      <c r="B79" s="1"/>
      <c r="C79" s="1"/>
      <c r="D79" s="254"/>
      <c r="E79" s="1"/>
      <c r="F79" s="256"/>
      <c r="G79" s="72"/>
      <c r="H79" s="74"/>
      <c r="I79" s="74"/>
      <c r="J79" s="74"/>
      <c r="K79" s="74"/>
      <c r="L79" s="74"/>
      <c r="M79" s="74" t="s">
        <v>145</v>
      </c>
      <c r="N79" s="257"/>
      <c r="O79" s="682" t="e">
        <f>(1-(O78*-1))*O61</f>
        <v>#DIV/0!</v>
      </c>
      <c r="P79" s="716" t="s">
        <v>114</v>
      </c>
      <c r="Q79" s="713" t="e">
        <f>(1-(Q78*-1))*Q61</f>
        <v>#DIV/0!</v>
      </c>
      <c r="R79" s="725" t="s">
        <v>114</v>
      </c>
      <c r="S79" s="722" t="e">
        <f>(1-(S78*-1))*S61</f>
        <v>#DIV/0!</v>
      </c>
      <c r="T79" s="733" t="s">
        <v>114</v>
      </c>
      <c r="U79" s="730" t="e">
        <f>(1-(U78*-1))*U61</f>
        <v>#DIV/0!</v>
      </c>
      <c r="V79" s="741" t="s">
        <v>114</v>
      </c>
      <c r="W79" s="738" t="e">
        <f>(1-(W78*-1))*W61</f>
        <v>#DIV/0!</v>
      </c>
      <c r="X79" s="749" t="s">
        <v>114</v>
      </c>
      <c r="Y79" s="1"/>
      <c r="Z79" s="1"/>
      <c r="AA79" s="1"/>
      <c r="AB79" s="1"/>
      <c r="AC79" s="1"/>
      <c r="AD79" s="1"/>
      <c r="AE79" s="1"/>
      <c r="AF79" s="1"/>
      <c r="AG79" s="1"/>
      <c r="AH79" s="1"/>
      <c r="AI79" s="6"/>
      <c r="AJ79" s="6"/>
      <c r="AK79" s="16"/>
      <c r="AL79" s="16"/>
      <c r="AM79" s="17"/>
      <c r="AN79" s="17"/>
      <c r="AO79" s="18"/>
      <c r="AP79" s="18"/>
      <c r="AQ79" s="19"/>
      <c r="AR79" s="19"/>
      <c r="AS79" s="11"/>
      <c r="AT79" s="11"/>
      <c r="AU79" s="1"/>
      <c r="AV79" s="1"/>
      <c r="AW79" s="1"/>
      <c r="AX79" s="1"/>
      <c r="AY79" s="1"/>
      <c r="AZ79" s="1"/>
    </row>
    <row r="80" spans="1:52" s="12" customFormat="1" ht="14.4" customHeight="1" x14ac:dyDescent="0.3">
      <c r="A80" s="1"/>
      <c r="B80" s="1"/>
      <c r="C80" s="1"/>
      <c r="D80" s="254"/>
      <c r="E80" s="1"/>
      <c r="F80" s="21"/>
      <c r="G80" s="22"/>
      <c r="H80" s="22"/>
      <c r="I80" s="39"/>
      <c r="J80" s="39"/>
      <c r="K80" s="39"/>
      <c r="L80" s="39"/>
      <c r="M80" s="39" t="s">
        <v>220</v>
      </c>
      <c r="N80" s="255"/>
      <c r="O80" s="683" t="e">
        <f>O79/O62</f>
        <v>#DIV/0!</v>
      </c>
      <c r="P80" s="716" t="s">
        <v>114</v>
      </c>
      <c r="Q80" s="714" t="e">
        <f>Q79/Q62</f>
        <v>#DIV/0!</v>
      </c>
      <c r="R80" s="725" t="s">
        <v>114</v>
      </c>
      <c r="S80" s="723" t="e">
        <f>S79/S62</f>
        <v>#DIV/0!</v>
      </c>
      <c r="T80" s="733" t="s">
        <v>114</v>
      </c>
      <c r="U80" s="731" t="e">
        <f>U79/U62</f>
        <v>#DIV/0!</v>
      </c>
      <c r="V80" s="741" t="s">
        <v>114</v>
      </c>
      <c r="W80" s="739" t="e">
        <f>W79/W62</f>
        <v>#DIV/0!</v>
      </c>
      <c r="X80" s="749" t="s">
        <v>114</v>
      </c>
      <c r="Y80" s="1"/>
      <c r="Z80" s="1"/>
      <c r="AA80" s="1"/>
      <c r="AB80" s="1"/>
      <c r="AC80" s="1"/>
      <c r="AD80" s="1"/>
      <c r="AE80" s="1"/>
      <c r="AF80" s="1"/>
      <c r="AG80" s="1"/>
      <c r="AH80" s="1"/>
      <c r="AI80" s="6"/>
      <c r="AJ80" s="6"/>
      <c r="AK80" s="16"/>
      <c r="AL80" s="16"/>
      <c r="AM80" s="17"/>
      <c r="AN80" s="17"/>
      <c r="AO80" s="18"/>
      <c r="AP80" s="18"/>
      <c r="AQ80" s="19"/>
      <c r="AR80" s="19"/>
      <c r="AS80" s="11"/>
      <c r="AT80" s="11"/>
      <c r="AU80" s="1"/>
      <c r="AV80" s="1"/>
      <c r="AW80" s="1"/>
      <c r="AX80" s="1"/>
      <c r="AY80" s="1"/>
      <c r="AZ80" s="1"/>
    </row>
    <row r="81" spans="1:52" s="12" customFormat="1" ht="14.4" customHeight="1" x14ac:dyDescent="0.3">
      <c r="A81" s="1"/>
      <c r="B81" s="1"/>
      <c r="C81" s="1"/>
      <c r="D81" s="254"/>
      <c r="E81" s="1"/>
      <c r="F81" s="21"/>
      <c r="G81" s="22"/>
      <c r="H81" s="22"/>
      <c r="I81" s="39"/>
      <c r="J81" s="39"/>
      <c r="K81" s="39"/>
      <c r="L81" s="39"/>
      <c r="M81" s="39" t="s">
        <v>123</v>
      </c>
      <c r="N81" s="255"/>
      <c r="O81" s="683" t="e">
        <f>($K70-O68-O69)/O64</f>
        <v>#DIV/0!</v>
      </c>
      <c r="P81" s="716" t="s">
        <v>114</v>
      </c>
      <c r="Q81" s="714" t="e">
        <f>($K70-Q68-Q69)/Q64</f>
        <v>#DIV/0!</v>
      </c>
      <c r="R81" s="725" t="s">
        <v>114</v>
      </c>
      <c r="S81" s="723" t="e">
        <f>($K70-S68-S69)/S64</f>
        <v>#DIV/0!</v>
      </c>
      <c r="T81" s="733" t="s">
        <v>114</v>
      </c>
      <c r="U81" s="731" t="e">
        <f>($K70-U68-U69)/U64</f>
        <v>#DIV/0!</v>
      </c>
      <c r="V81" s="741" t="s">
        <v>114</v>
      </c>
      <c r="W81" s="739" t="e">
        <f>($K70-W68-W69)/W64</f>
        <v>#DIV/0!</v>
      </c>
      <c r="X81" s="749" t="s">
        <v>114</v>
      </c>
      <c r="Y81" s="1"/>
      <c r="Z81" s="1"/>
      <c r="AA81" s="1"/>
      <c r="AB81" s="1"/>
      <c r="AC81" s="1"/>
      <c r="AD81" s="1"/>
      <c r="AE81" s="1"/>
      <c r="AF81" s="1"/>
      <c r="AG81" s="1"/>
      <c r="AH81" s="1"/>
      <c r="AI81" s="6"/>
      <c r="AJ81" s="6"/>
      <c r="AK81" s="16"/>
      <c r="AL81" s="16"/>
      <c r="AM81" s="17"/>
      <c r="AN81" s="17"/>
      <c r="AO81" s="18"/>
      <c r="AP81" s="18"/>
      <c r="AQ81" s="19"/>
      <c r="AR81" s="19"/>
      <c r="AS81" s="11"/>
      <c r="AT81" s="11"/>
      <c r="AU81" s="1"/>
      <c r="AV81" s="1"/>
      <c r="AW81" s="1"/>
      <c r="AX81" s="1"/>
      <c r="AY81" s="1"/>
      <c r="AZ81" s="1"/>
    </row>
    <row r="82" spans="1:52" s="12" customFormat="1" ht="14.4" customHeight="1" x14ac:dyDescent="0.3">
      <c r="A82" s="1"/>
      <c r="B82" s="1"/>
      <c r="C82" s="1"/>
      <c r="D82" s="254"/>
      <c r="E82" s="1"/>
      <c r="F82" s="256"/>
      <c r="G82" s="72"/>
      <c r="H82" s="72"/>
      <c r="I82" s="39"/>
      <c r="J82" s="39"/>
      <c r="K82" s="39"/>
      <c r="L82" s="39"/>
      <c r="M82" s="39" t="s">
        <v>146</v>
      </c>
      <c r="N82" s="257"/>
      <c r="O82" s="682" t="e">
        <f>K70/O64</f>
        <v>#DIV/0!</v>
      </c>
      <c r="P82" s="716" t="s">
        <v>114</v>
      </c>
      <c r="Q82" s="713" t="e">
        <f>K70/Q64</f>
        <v>#DIV/0!</v>
      </c>
      <c r="R82" s="725" t="s">
        <v>114</v>
      </c>
      <c r="S82" s="722" t="e">
        <f>K70/S64</f>
        <v>#DIV/0!</v>
      </c>
      <c r="T82" s="733" t="s">
        <v>114</v>
      </c>
      <c r="U82" s="730" t="e">
        <f>K70/U64</f>
        <v>#DIV/0!</v>
      </c>
      <c r="V82" s="741" t="s">
        <v>114</v>
      </c>
      <c r="W82" s="738" t="e">
        <f>K70/W64</f>
        <v>#DIV/0!</v>
      </c>
      <c r="X82" s="750" t="s">
        <v>114</v>
      </c>
      <c r="Y82" s="1"/>
      <c r="Z82" s="1"/>
      <c r="AA82" s="1"/>
      <c r="AB82" s="1"/>
      <c r="AC82" s="1"/>
      <c r="AD82" s="1"/>
      <c r="AE82" s="1"/>
      <c r="AF82" s="1"/>
      <c r="AG82" s="1"/>
      <c r="AH82" s="1"/>
      <c r="AI82" s="6"/>
      <c r="AJ82" s="6"/>
      <c r="AK82" s="16"/>
      <c r="AL82" s="16"/>
      <c r="AM82" s="17"/>
      <c r="AN82" s="17"/>
      <c r="AO82" s="18"/>
      <c r="AP82" s="18"/>
      <c r="AQ82" s="19"/>
      <c r="AR82" s="19"/>
      <c r="AS82" s="11"/>
      <c r="AT82" s="11"/>
      <c r="AU82" s="1"/>
      <c r="AV82" s="1"/>
      <c r="AW82" s="1"/>
      <c r="AX82" s="1"/>
      <c r="AY82" s="1"/>
      <c r="AZ82" s="1"/>
    </row>
    <row r="83" spans="1:52" s="12" customFormat="1" ht="14.4" customHeight="1" x14ac:dyDescent="0.3">
      <c r="A83" s="1"/>
      <c r="B83" s="1"/>
      <c r="C83" s="1"/>
      <c r="D83" s="1"/>
      <c r="E83" s="1"/>
      <c r="F83" s="258"/>
      <c r="G83" s="46"/>
      <c r="H83" s="46"/>
      <c r="I83" s="46"/>
      <c r="J83" s="46"/>
      <c r="K83" s="48"/>
      <c r="L83" s="48"/>
      <c r="M83" s="48" t="s">
        <v>87</v>
      </c>
      <c r="N83" s="48"/>
      <c r="O83" s="684" t="e">
        <f>O77/$K71*-1</f>
        <v>#DIV/0!</v>
      </c>
      <c r="P83" s="278" t="s">
        <v>215</v>
      </c>
      <c r="Q83" s="51" t="e">
        <f>Q77/$K71*-1</f>
        <v>#DIV/0!</v>
      </c>
      <c r="R83" s="279" t="s">
        <v>215</v>
      </c>
      <c r="S83" s="52" t="e">
        <f>S77/$K71*-1</f>
        <v>#DIV/0!</v>
      </c>
      <c r="T83" s="280" t="s">
        <v>215</v>
      </c>
      <c r="U83" s="53" t="e">
        <f>U77/$K71*-1</f>
        <v>#DIV/0!</v>
      </c>
      <c r="V83" s="281" t="s">
        <v>215</v>
      </c>
      <c r="W83" s="54" t="e">
        <f>W77/$K71*-1</f>
        <v>#DIV/0!</v>
      </c>
      <c r="X83" s="751" t="s">
        <v>215</v>
      </c>
      <c r="Y83" s="1"/>
      <c r="Z83" s="1"/>
      <c r="AA83" s="1"/>
      <c r="AB83" s="1"/>
      <c r="AC83" s="1"/>
      <c r="AD83" s="1"/>
      <c r="AE83" s="1"/>
      <c r="AF83" s="1"/>
      <c r="AG83" s="1"/>
      <c r="AH83" s="1"/>
      <c r="AI83" s="6"/>
      <c r="AJ83" s="6"/>
      <c r="AK83" s="16"/>
      <c r="AL83" s="16"/>
      <c r="AM83" s="17"/>
      <c r="AN83" s="17"/>
      <c r="AO83" s="18"/>
      <c r="AP83" s="18"/>
      <c r="AQ83" s="19"/>
      <c r="AR83" s="19"/>
      <c r="AS83" s="11"/>
      <c r="AT83" s="11"/>
      <c r="AU83" s="1"/>
      <c r="AV83" s="1"/>
      <c r="AW83" s="1"/>
      <c r="AX83" s="1"/>
      <c r="AY83" s="1"/>
      <c r="AZ83" s="1"/>
    </row>
    <row r="84" spans="1:52" s="12" customFormat="1" ht="14.4" customHeight="1" x14ac:dyDescent="0.3">
      <c r="A84" s="1"/>
      <c r="B84" s="1"/>
      <c r="C84" s="1"/>
      <c r="D84" s="1"/>
      <c r="E84" s="1"/>
      <c r="F84" s="21"/>
      <c r="G84" s="22"/>
      <c r="H84" s="22"/>
      <c r="I84" s="22"/>
      <c r="J84" s="22"/>
      <c r="K84" s="39"/>
      <c r="L84" s="39"/>
      <c r="M84" s="39" t="s">
        <v>69</v>
      </c>
      <c r="N84" s="39"/>
      <c r="O84" s="710"/>
      <c r="P84" s="718" t="s">
        <v>114</v>
      </c>
      <c r="Q84" s="719"/>
      <c r="R84" s="727" t="s">
        <v>114</v>
      </c>
      <c r="S84" s="719"/>
      <c r="T84" s="735" t="s">
        <v>114</v>
      </c>
      <c r="U84" s="719"/>
      <c r="V84" s="743" t="s">
        <v>114</v>
      </c>
      <c r="W84" s="719"/>
      <c r="X84" s="751" t="s">
        <v>114</v>
      </c>
      <c r="Y84" s="1"/>
      <c r="Z84" s="1"/>
      <c r="AA84" s="1"/>
      <c r="AB84" s="1"/>
      <c r="AC84" s="1"/>
      <c r="AD84" s="1"/>
      <c r="AE84" s="1"/>
      <c r="AF84" s="1"/>
      <c r="AG84" s="1"/>
      <c r="AH84" s="1"/>
      <c r="AI84" s="6"/>
      <c r="AJ84" s="6"/>
      <c r="AK84" s="16"/>
      <c r="AL84" s="16"/>
      <c r="AM84" s="17"/>
      <c r="AN84" s="17"/>
      <c r="AO84" s="18"/>
      <c r="AP84" s="18"/>
      <c r="AQ84" s="19"/>
      <c r="AR84" s="19"/>
      <c r="AS84" s="11"/>
      <c r="AT84" s="11"/>
      <c r="AU84" s="1"/>
      <c r="AV84" s="1"/>
      <c r="AW84" s="1"/>
      <c r="AX84" s="1"/>
      <c r="AY84" s="1"/>
      <c r="AZ84" s="1"/>
    </row>
    <row r="85" spans="1:52" s="12" customFormat="1" ht="14.4" customHeight="1" thickBot="1" x14ac:dyDescent="0.35">
      <c r="A85" s="1"/>
      <c r="B85" s="1"/>
      <c r="C85" s="1"/>
      <c r="D85" s="1"/>
      <c r="E85" s="1"/>
      <c r="F85" s="24"/>
      <c r="G85" s="25"/>
      <c r="H85" s="25"/>
      <c r="I85" s="25"/>
      <c r="J85" s="25"/>
      <c r="K85" s="260"/>
      <c r="L85" s="260"/>
      <c r="M85" s="260" t="s">
        <v>56</v>
      </c>
      <c r="N85" s="260"/>
      <c r="O85" s="679" t="e">
        <f>O60/O84</f>
        <v>#DIV/0!</v>
      </c>
      <c r="P85" s="288"/>
      <c r="Q85" s="715" t="e">
        <f>Q60/Q84</f>
        <v>#DIV/0!</v>
      </c>
      <c r="R85" s="289"/>
      <c r="S85" s="724" t="e">
        <f>S60/S84</f>
        <v>#DIV/0!</v>
      </c>
      <c r="T85" s="290"/>
      <c r="U85" s="732" t="e">
        <f>U60/U84</f>
        <v>#DIV/0!</v>
      </c>
      <c r="V85" s="291"/>
      <c r="W85" s="740" t="e">
        <f>W60/W84</f>
        <v>#DIV/0!</v>
      </c>
      <c r="X85" s="752"/>
      <c r="Y85" s="1"/>
      <c r="Z85" s="1"/>
      <c r="AA85" s="1"/>
      <c r="AB85" s="1"/>
      <c r="AC85" s="1"/>
      <c r="AD85" s="1"/>
      <c r="AE85" s="1"/>
      <c r="AF85" s="1"/>
      <c r="AG85" s="1"/>
      <c r="AH85" s="1"/>
      <c r="AI85" s="6"/>
      <c r="AJ85" s="6"/>
      <c r="AK85" s="16"/>
      <c r="AL85" s="16"/>
      <c r="AM85" s="17"/>
      <c r="AN85" s="17"/>
      <c r="AO85" s="18"/>
      <c r="AP85" s="18"/>
      <c r="AQ85" s="19"/>
      <c r="AR85" s="19"/>
      <c r="AS85" s="11"/>
      <c r="AT85" s="11"/>
      <c r="AU85" s="1"/>
      <c r="AV85" s="1"/>
      <c r="AW85" s="1"/>
      <c r="AX85" s="1"/>
      <c r="AY85" s="1"/>
      <c r="AZ85" s="1"/>
    </row>
    <row r="86" spans="1:52" s="12" customFormat="1" ht="14.4" hidden="1" customHeight="1" x14ac:dyDescent="0.3"/>
    <row r="87" spans="1:52" s="12" customFormat="1" ht="14.4" customHeight="1" x14ac:dyDescent="0.3"/>
    <row r="88" spans="1:52" s="12" customFormat="1" ht="14.4" customHeight="1" x14ac:dyDescent="0.3">
      <c r="A88" s="1"/>
      <c r="B88" s="42" t="s">
        <v>228</v>
      </c>
      <c r="C88" s="1"/>
      <c r="D88" s="1"/>
      <c r="E88" s="1"/>
      <c r="F88" s="1"/>
      <c r="G88" s="1"/>
      <c r="H88" s="1"/>
      <c r="I88" s="1"/>
      <c r="J88" s="38"/>
      <c r="K88" s="38"/>
      <c r="L88" s="38"/>
      <c r="M88" s="38"/>
      <c r="N88" s="38"/>
      <c r="O88" s="38"/>
      <c r="P88" s="38"/>
      <c r="Q88" s="38"/>
      <c r="R88" s="38"/>
      <c r="S88" s="38"/>
      <c r="T88" s="38"/>
      <c r="U88" s="38"/>
      <c r="V88" s="38"/>
      <c r="W88" s="38"/>
      <c r="X88" s="38"/>
      <c r="Y88" s="1"/>
      <c r="Z88" s="1"/>
      <c r="AA88" s="1"/>
      <c r="AB88" s="1"/>
      <c r="AC88" s="1"/>
      <c r="AD88" s="1"/>
      <c r="AE88" s="1"/>
      <c r="AF88" s="1"/>
      <c r="AG88" s="1"/>
      <c r="AH88" s="1"/>
      <c r="AI88" s="6"/>
      <c r="AJ88" s="6"/>
      <c r="AK88" s="16"/>
      <c r="AL88" s="16"/>
      <c r="AM88" s="17"/>
      <c r="AN88" s="17"/>
      <c r="AO88" s="18"/>
      <c r="AP88" s="18"/>
      <c r="AQ88" s="19"/>
      <c r="AR88" s="19"/>
      <c r="AS88" s="11"/>
      <c r="AT88" s="11"/>
      <c r="AU88" s="1"/>
      <c r="AV88" s="1"/>
      <c r="AW88" s="1"/>
      <c r="AX88" s="1"/>
      <c r="AY88" s="1"/>
      <c r="AZ88" s="1"/>
    </row>
    <row r="89" spans="1:52" s="12" customFormat="1" ht="14.4" customHeight="1" x14ac:dyDescent="0.3">
      <c r="E89" s="1314" t="s">
        <v>218</v>
      </c>
      <c r="F89" s="1315"/>
      <c r="G89" s="1315"/>
      <c r="H89" s="1315"/>
      <c r="I89" s="1316"/>
      <c r="J89" s="261"/>
      <c r="K89" s="261"/>
      <c r="L89" s="261"/>
      <c r="M89" s="261"/>
      <c r="N89" s="261"/>
      <c r="O89" s="376"/>
      <c r="V89" s="1"/>
      <c r="W89" s="1"/>
      <c r="X89" s="1"/>
      <c r="Y89" s="1"/>
      <c r="Z89" s="1"/>
      <c r="AA89" s="1"/>
      <c r="AB89" s="1"/>
      <c r="AC89" s="1"/>
      <c r="AD89" s="1"/>
      <c r="AE89" s="1"/>
      <c r="AF89" s="1"/>
      <c r="AG89" s="1"/>
      <c r="AH89" s="1"/>
      <c r="AI89" s="6"/>
      <c r="AJ89" s="6"/>
      <c r="AK89" s="16"/>
      <c r="AL89" s="16"/>
      <c r="AM89" s="17"/>
      <c r="AN89" s="17"/>
      <c r="AO89" s="18"/>
      <c r="AP89" s="18"/>
      <c r="AQ89" s="19"/>
      <c r="AR89" s="19"/>
      <c r="AS89" s="11"/>
      <c r="AT89" s="11"/>
      <c r="AU89" s="1"/>
      <c r="AV89" s="1"/>
      <c r="AW89" s="1"/>
      <c r="AX89" s="1"/>
      <c r="AY89" s="1"/>
      <c r="AZ89" s="1"/>
    </row>
    <row r="90" spans="1:52" s="12" customFormat="1" ht="14.4" customHeight="1" x14ac:dyDescent="0.3">
      <c r="A90" s="1"/>
      <c r="B90" s="1"/>
      <c r="C90" s="1"/>
      <c r="D90" s="1"/>
      <c r="E90" s="1317" t="s">
        <v>219</v>
      </c>
      <c r="F90" s="1317"/>
      <c r="G90" s="1317"/>
      <c r="H90" s="1317"/>
      <c r="I90" s="1317"/>
      <c r="J90" s="212"/>
      <c r="K90" s="223"/>
      <c r="L90" s="224"/>
      <c r="M90" s="1"/>
      <c r="O90" s="44"/>
      <c r="P90" s="12" t="s">
        <v>34</v>
      </c>
      <c r="Q90" s="27" t="s">
        <v>221</v>
      </c>
      <c r="R90" s="1"/>
      <c r="S90" s="1"/>
      <c r="T90" s="1"/>
      <c r="U90" s="1"/>
      <c r="V90" s="1"/>
      <c r="W90" s="1"/>
      <c r="X90" s="1"/>
      <c r="Y90" s="1"/>
      <c r="Z90" s="1"/>
      <c r="AA90" s="1" t="s">
        <v>102</v>
      </c>
      <c r="AB90" s="1"/>
      <c r="AC90" s="1"/>
      <c r="AD90" s="1"/>
      <c r="AE90" s="263">
        <v>2</v>
      </c>
      <c r="AF90" s="1"/>
      <c r="AG90" s="1"/>
      <c r="AH90" s="1"/>
      <c r="AI90" s="6"/>
      <c r="AJ90" s="6"/>
      <c r="AK90" s="16"/>
      <c r="AL90" s="16"/>
      <c r="AM90" s="17"/>
      <c r="AN90" s="17"/>
      <c r="AO90" s="18"/>
      <c r="AP90" s="18"/>
      <c r="AQ90" s="19"/>
      <c r="AR90" s="19"/>
      <c r="AS90" s="11"/>
      <c r="AT90" s="11"/>
      <c r="AU90" s="1"/>
      <c r="AV90" s="1"/>
      <c r="AW90" s="1"/>
      <c r="AX90" s="1"/>
      <c r="AY90" s="1"/>
      <c r="AZ90" s="1"/>
    </row>
    <row r="91" spans="1:52" s="12" customFormat="1" ht="14.4" customHeight="1" x14ac:dyDescent="0.3">
      <c r="A91" s="1"/>
      <c r="B91" s="1"/>
      <c r="C91" s="1"/>
      <c r="D91" s="1"/>
      <c r="E91" s="1318"/>
      <c r="F91" s="1318"/>
      <c r="G91" s="1318"/>
      <c r="H91" s="1318"/>
      <c r="I91" s="1318"/>
      <c r="J91" s="212"/>
      <c r="K91" s="223"/>
      <c r="L91" s="224"/>
      <c r="Y91" s="1"/>
      <c r="Z91" s="1"/>
      <c r="AA91" s="1" t="s">
        <v>104</v>
      </c>
      <c r="AB91" s="1"/>
      <c r="AC91" s="1"/>
      <c r="AD91" s="1"/>
      <c r="AE91" s="1"/>
      <c r="AF91" s="1"/>
      <c r="AG91" s="1"/>
      <c r="AH91" s="1"/>
      <c r="AI91" s="6"/>
      <c r="AJ91" s="6"/>
      <c r="AK91" s="16"/>
      <c r="AL91" s="16"/>
      <c r="AM91" s="17"/>
      <c r="AN91" s="17"/>
      <c r="AO91" s="18"/>
      <c r="AP91" s="18"/>
      <c r="AQ91" s="19"/>
      <c r="AR91" s="19"/>
      <c r="AS91" s="11"/>
      <c r="AT91" s="11"/>
      <c r="AU91" s="1"/>
      <c r="AV91" s="1"/>
      <c r="AW91" s="1"/>
      <c r="AX91" s="1"/>
      <c r="AY91" s="1"/>
      <c r="AZ91" s="1"/>
    </row>
    <row r="92" spans="1:52" s="12" customFormat="1" ht="14.4" customHeight="1" thickBot="1" x14ac:dyDescent="0.35">
      <c r="A92" s="1"/>
      <c r="B92" s="1"/>
      <c r="C92" s="1"/>
      <c r="D92" s="1"/>
      <c r="I92" s="264" t="s">
        <v>101</v>
      </c>
      <c r="J92" s="1319" t="str">
        <f>IF(AE90=1,AA90,IF(AE90=2,AA91,IF(AE90=3,AA92,IF(AE90=4,AA93,ERROR))))</f>
        <v>2. Remodel Existing &amp; Add Space (to produce same number of pigs)</v>
      </c>
      <c r="K92" s="1320"/>
      <c r="L92" s="1320"/>
      <c r="M92" s="1320"/>
      <c r="N92" s="1320"/>
      <c r="O92" s="1320"/>
      <c r="P92" s="1320"/>
      <c r="Q92" s="1320"/>
      <c r="R92" s="1320"/>
      <c r="S92" s="1342"/>
      <c r="U92" s="1"/>
      <c r="V92" s="1"/>
      <c r="W92" s="1"/>
      <c r="X92" s="1"/>
      <c r="Y92" s="1"/>
      <c r="Z92" s="1"/>
      <c r="AA92" s="1" t="s">
        <v>251</v>
      </c>
      <c r="AB92" s="1"/>
      <c r="AC92" s="1"/>
      <c r="AD92" s="1"/>
      <c r="AE92" s="1"/>
      <c r="AF92" s="1"/>
      <c r="AG92" s="1"/>
      <c r="AH92" s="1"/>
      <c r="AI92" s="6"/>
      <c r="AJ92" s="6"/>
      <c r="AK92" s="16"/>
      <c r="AL92" s="16"/>
      <c r="AM92" s="17"/>
      <c r="AN92" s="17"/>
      <c r="AO92" s="18"/>
      <c r="AP92" s="18"/>
      <c r="AQ92" s="19"/>
      <c r="AR92" s="19"/>
      <c r="AS92" s="11"/>
      <c r="AT92" s="11"/>
      <c r="AU92" s="1"/>
      <c r="AV92" s="1"/>
      <c r="AW92" s="1"/>
      <c r="AX92" s="1"/>
      <c r="AY92" s="1"/>
      <c r="AZ92" s="1"/>
    </row>
    <row r="93" spans="1:52" s="12" customFormat="1" ht="14.4" customHeight="1" thickBot="1" x14ac:dyDescent="0.35">
      <c r="B93" s="1"/>
      <c r="C93" s="1"/>
      <c r="D93" s="1"/>
      <c r="G93" s="981"/>
      <c r="H93" s="981"/>
      <c r="I93" s="981"/>
      <c r="J93" s="982" t="s">
        <v>262</v>
      </c>
      <c r="K93" s="980">
        <f>K181</f>
        <v>0</v>
      </c>
      <c r="L93" s="1162" t="s">
        <v>114</v>
      </c>
      <c r="M93" s="38"/>
      <c r="N93" s="1104"/>
      <c r="O93" s="1197" t="e">
        <f>O181</f>
        <v>#DIV/0!</v>
      </c>
      <c r="P93" s="1198" t="s">
        <v>114</v>
      </c>
      <c r="Q93" s="1199" t="e">
        <f>Q181</f>
        <v>#DIV/0!</v>
      </c>
      <c r="R93" s="1200" t="s">
        <v>114</v>
      </c>
      <c r="S93" s="1199" t="e">
        <f>S181</f>
        <v>#DIV/0!</v>
      </c>
      <c r="T93" s="1201" t="s">
        <v>114</v>
      </c>
      <c r="U93" s="1199" t="e">
        <f>U181</f>
        <v>#DIV/0!</v>
      </c>
      <c r="V93" s="1202" t="s">
        <v>114</v>
      </c>
      <c r="W93" s="1199" t="e">
        <f>W181</f>
        <v>#DIV/0!</v>
      </c>
      <c r="X93" s="1203" t="s">
        <v>114</v>
      </c>
      <c r="Y93" s="1"/>
      <c r="Z93" s="1"/>
      <c r="AA93" s="1" t="s">
        <v>103</v>
      </c>
      <c r="AB93" s="1"/>
      <c r="AC93" s="1"/>
      <c r="AD93" s="1"/>
      <c r="AE93" s="1"/>
      <c r="AF93" s="1"/>
      <c r="AG93" s="1"/>
      <c r="AH93" s="1"/>
      <c r="AI93" s="6"/>
      <c r="AJ93" s="6"/>
      <c r="AK93" s="16"/>
      <c r="AL93" s="16"/>
      <c r="AM93" s="17"/>
      <c r="AN93" s="17"/>
      <c r="AO93" s="18"/>
      <c r="AP93" s="18"/>
      <c r="AQ93" s="19"/>
      <c r="AR93" s="19"/>
      <c r="AS93" s="11"/>
      <c r="AT93" s="11"/>
      <c r="AU93" s="1"/>
      <c r="AV93" s="1"/>
      <c r="AW93" s="1"/>
      <c r="AX93" s="1"/>
      <c r="AY93" s="1"/>
      <c r="AZ93" s="1"/>
    </row>
    <row r="94" spans="1:52" s="12" customFormat="1" ht="14.4" customHeight="1" thickBot="1" x14ac:dyDescent="0.35">
      <c r="A94" s="1"/>
      <c r="B94" s="1"/>
      <c r="C94" s="1"/>
      <c r="D94" s="1"/>
      <c r="E94" s="265" t="s">
        <v>118</v>
      </c>
      <c r="F94" s="1"/>
      <c r="G94" s="1"/>
      <c r="H94" s="38"/>
      <c r="I94" s="262"/>
      <c r="J94" s="212"/>
      <c r="K94" s="223"/>
      <c r="L94" s="224"/>
      <c r="M94" s="38"/>
      <c r="N94" s="38"/>
      <c r="O94" s="1171">
        <f>O56</f>
        <v>1</v>
      </c>
      <c r="P94" s="1172"/>
      <c r="Q94" s="1173">
        <f>Q56</f>
        <v>2</v>
      </c>
      <c r="R94" s="1174"/>
      <c r="S94" s="1175">
        <f>S56</f>
        <v>3</v>
      </c>
      <c r="T94" s="1176"/>
      <c r="U94" s="1177">
        <f>U56</f>
        <v>4</v>
      </c>
      <c r="V94" s="1178"/>
      <c r="W94" s="1179">
        <f>W56</f>
        <v>5</v>
      </c>
      <c r="X94" s="1180"/>
      <c r="Y94" s="1"/>
      <c r="Z94" s="1"/>
      <c r="AA94" s="1" t="s">
        <v>105</v>
      </c>
      <c r="AB94" s="1"/>
      <c r="AC94" s="1"/>
      <c r="AD94" s="1"/>
      <c r="AE94" s="1"/>
      <c r="AF94" s="1"/>
      <c r="AG94" s="1"/>
      <c r="AH94" s="1"/>
      <c r="AI94" s="6"/>
      <c r="AJ94" s="6"/>
      <c r="AK94" s="16"/>
      <c r="AL94" s="16"/>
      <c r="AM94" s="17"/>
      <c r="AN94" s="17"/>
      <c r="AO94" s="18"/>
      <c r="AP94" s="18"/>
      <c r="AQ94" s="19"/>
      <c r="AR94" s="19"/>
      <c r="AS94" s="11"/>
      <c r="AT94" s="11"/>
      <c r="AU94" s="1"/>
      <c r="AV94" s="1"/>
      <c r="AW94" s="1"/>
      <c r="AX94" s="1"/>
      <c r="AY94" s="1"/>
      <c r="AZ94" s="1"/>
    </row>
    <row r="95" spans="1:52" s="12" customFormat="1" ht="14.4" customHeight="1" x14ac:dyDescent="0.3">
      <c r="A95" s="1"/>
      <c r="E95" s="223"/>
      <c r="F95" s="1"/>
      <c r="G95" s="266" t="str">
        <f>AB95</f>
        <v>Sow Gestation Housing</v>
      </c>
      <c r="H95" s="267"/>
      <c r="I95" s="268"/>
      <c r="J95" s="268"/>
      <c r="K95" s="269" t="e">
        <f>IF(AA95,I36,0)</f>
        <v>#DIV/0!</v>
      </c>
      <c r="L95" s="269" t="s">
        <v>114</v>
      </c>
      <c r="M95" s="270"/>
      <c r="N95" s="252"/>
      <c r="O95" s="635" t="e">
        <f>IF($AA95,(IF($AE$90=1,AI36*(1+O$78),IF($AE$90=2,AI36,IF($AE$90=3,AI36,IF($AE$90=4,AI36,"ERROR"))))),0)</f>
        <v>#DIV/0!</v>
      </c>
      <c r="P95" s="636" t="s">
        <v>114</v>
      </c>
      <c r="Q95" s="643" t="e">
        <f>IF($AA95,(IF($AE$90=1,AK36*(1+Q$78),IF($AE$90=2,AK36,IF($AE$90=3,AK36,IF($AE$90=4,AK36,"ERROR"))))),0)</f>
        <v>#DIV/0!</v>
      </c>
      <c r="R95" s="644" t="s">
        <v>114</v>
      </c>
      <c r="S95" s="651" t="e">
        <f>IF($AA95,(IF($AE$90=1,AM36*(1+S$78),IF($AE$90=2,AM36,IF($AE$90=3,AM36,IF($AE$90=4,AM36,"ERROR"))))),0)</f>
        <v>#DIV/0!</v>
      </c>
      <c r="T95" s="652" t="s">
        <v>114</v>
      </c>
      <c r="U95" s="659" t="e">
        <f>IF($AA95,(IF($AE$90=1,AO36*(1+U$78),IF($AE$90=2,AO36,IF($AE$90=3,AO36,IF($AE$90=4,AO36,"ERROR"))))),0)</f>
        <v>#DIV/0!</v>
      </c>
      <c r="V95" s="660" t="s">
        <v>114</v>
      </c>
      <c r="W95" s="667" t="e">
        <f>IF($AA95,(IF($AE$90=1,AQ36*(1+W$78),IF($AE$90=2,AQ36,IF($AE$90=3,AQ36,IF($AE$90=4,AQ36,"ERROR"))))),0)</f>
        <v>#DIV/0!</v>
      </c>
      <c r="X95" s="271" t="s">
        <v>114</v>
      </c>
      <c r="Y95" s="1"/>
      <c r="Z95" s="1"/>
      <c r="AA95" s="263" t="b">
        <v>1</v>
      </c>
      <c r="AB95" s="1" t="s">
        <v>112</v>
      </c>
      <c r="AC95" s="1"/>
      <c r="AD95" s="1"/>
      <c r="AE95" s="212" t="str">
        <f>IF(AA95=TRUE,IF(AA64&gt;14,"OK","ERROR"))</f>
        <v>ERROR</v>
      </c>
      <c r="AF95" s="212" t="b">
        <f>IF(AA95=FALSE,IF(AB64&lt;1,"OK","ERROR"))</f>
        <v>0</v>
      </c>
      <c r="AG95" s="212"/>
      <c r="AH95" s="1"/>
      <c r="AI95" s="6"/>
      <c r="AJ95" s="272" t="str">
        <f>AB95</f>
        <v>Sow Gestation Housing</v>
      </c>
      <c r="AK95" s="16" t="e">
        <f>IF($AE$90=1,AI36*(1+O$78),IF($AE$90=2,AI36,IF($AE$90=3,AI36,IF($AE$90=4,AI36,"ERROR"))))</f>
        <v>#DIV/0!</v>
      </c>
      <c r="AL95" s="16"/>
      <c r="AM95" s="17" t="e">
        <f>IF($AE$90=1,AK36*(1+Q$78),IF($AE$90=2,AK36,IF($AE$90=3,AK36,IF($AE$90=4,AK36,"ERROR"))))</f>
        <v>#DIV/0!</v>
      </c>
      <c r="AN95" s="17"/>
      <c r="AO95" s="18" t="e">
        <f>IF($AE$90=1,AM36*(1+S$78),IF($AE$90=2,AM36,IF($AE$90=3,AM36,IF($AE$90=4,AM36,"ERROR"))))</f>
        <v>#DIV/0!</v>
      </c>
      <c r="AP95" s="18"/>
      <c r="AQ95" s="19" t="e">
        <f>IF($AE$90=1,AO36*(1+U$78),IF($AE$90=2,AO36,IF($AE$90=3,AO36,IF($AE$90=4,AO36,"ERROR"))))</f>
        <v>#DIV/0!</v>
      </c>
      <c r="AR95" s="19"/>
      <c r="AS95" s="11" t="e">
        <f>IF($AE$90=1,AQ36*(1+W$78),IF($AE$90=2,AQ36,IF($AE$90=3,AQ36,IF($AE$90=4,AQ36,"ERROR"))))</f>
        <v>#DIV/0!</v>
      </c>
      <c r="AT95" s="11"/>
      <c r="AU95" s="1"/>
      <c r="AV95" s="1"/>
      <c r="AW95" s="1"/>
      <c r="AX95" s="1"/>
      <c r="AY95" s="1"/>
      <c r="AZ95" s="1"/>
    </row>
    <row r="96" spans="1:52" s="12" customFormat="1" ht="14.4" customHeight="1" x14ac:dyDescent="0.3">
      <c r="A96" s="1"/>
      <c r="E96" s="223"/>
      <c r="F96" s="1"/>
      <c r="G96" s="273" t="str">
        <f>AB96</f>
        <v>Sow Pre-Gestation Housing</v>
      </c>
      <c r="H96" s="274"/>
      <c r="I96" s="275"/>
      <c r="J96" s="275"/>
      <c r="K96" s="276" t="e">
        <f>IF($AA96,I37,0)</f>
        <v>#DIV/0!</v>
      </c>
      <c r="L96" s="276" t="s">
        <v>114</v>
      </c>
      <c r="M96" s="277"/>
      <c r="N96" s="39"/>
      <c r="O96" s="637" t="e">
        <f>IF($AA96,(IF($AE$90=1,AI37*(1+O$78),IF($AE$90=2,AI37,IF($AE$90=3,AI37,IF($AE$90=4,AI37,"ERROR"))))),0)</f>
        <v>#DIV/0!</v>
      </c>
      <c r="P96" s="638" t="s">
        <v>114</v>
      </c>
      <c r="Q96" s="645" t="e">
        <f>IF($AA96,(IF($AE$90=1,AK37*(1+Q$78),IF($AE$90=2,AK37,IF($AE$90=3,AK37,IF($AE$90=4,AK37,"ERROR"))))),0)</f>
        <v>#DIV/0!</v>
      </c>
      <c r="R96" s="646" t="s">
        <v>114</v>
      </c>
      <c r="S96" s="653" t="e">
        <f>IF($AA96,(IF($AE$90=1,AM37*(1+S$78),IF($AE$90=2,AM37,IF($AE$90=3,AM37,IF($AE$90=4,AM37,"ERROR"))))),0)</f>
        <v>#DIV/0!</v>
      </c>
      <c r="T96" s="654" t="s">
        <v>114</v>
      </c>
      <c r="U96" s="661" t="e">
        <f>IF($AA96,(IF($AE$90=1,AO37*(1+U$78),IF($AE$90=2,AO37,IF($AE$90=3,AO37,IF($AE$90=4,AO37,"ERROR"))))),0)</f>
        <v>#DIV/0!</v>
      </c>
      <c r="V96" s="662" t="s">
        <v>114</v>
      </c>
      <c r="W96" s="668" t="e">
        <f>IF($AA96,(IF($AE$90=1,AQ37*(1+W$78),IF($AE$90=2,AQ37,IF($AE$90=3,AQ37,IF($AE$90=4,AQ37,"ERROR"))))),0)</f>
        <v>#DIV/0!</v>
      </c>
      <c r="X96" s="282" t="s">
        <v>114</v>
      </c>
      <c r="Y96" s="1"/>
      <c r="Z96" s="1"/>
      <c r="AA96" s="263" t="b">
        <v>1</v>
      </c>
      <c r="AB96" s="1" t="s">
        <v>113</v>
      </c>
      <c r="AC96" s="1"/>
      <c r="AD96" s="1"/>
      <c r="AE96" s="212" t="str">
        <f>IF(AA96=TRUE,IF(AA65&gt;14,"OK","ERROR"))</f>
        <v>ERROR</v>
      </c>
      <c r="AF96" s="212" t="b">
        <f>IF(AA96=FALSE,IF(AB65&lt;1,"OK","ERROR"))</f>
        <v>0</v>
      </c>
      <c r="AG96" s="212"/>
      <c r="AH96" s="1"/>
      <c r="AI96" s="6"/>
      <c r="AJ96" s="272" t="str">
        <f>AB96</f>
        <v>Sow Pre-Gestation Housing</v>
      </c>
      <c r="AK96" s="16" t="e">
        <f>IF($AE$90=1,AI37*(1+O$78),IF($AE$90=2,AI37,IF($AE$90=3,AI37,IF($AE$90=4,AI37,"ERROR"))))</f>
        <v>#DIV/0!</v>
      </c>
      <c r="AL96" s="16"/>
      <c r="AM96" s="17" t="e">
        <f>IF($AE$90=1,AK37*(1+Q$78),IF($AE$90=2,AK37,IF($AE$90=3,AK37,IF($AE$90=4,AK37,"ERROR"))))</f>
        <v>#DIV/0!</v>
      </c>
      <c r="AN96" s="17"/>
      <c r="AO96" s="18" t="e">
        <f>IF($AE$90=1,AM37*(1+S$78),IF($AE$90=2,AM37,IF($AE$90=3,AM37,IF($AE$90=4,AM37,"ERROR"))))</f>
        <v>#DIV/0!</v>
      </c>
      <c r="AP96" s="18"/>
      <c r="AQ96" s="19" t="e">
        <f>IF($AE$90=1,AO37*(1+U$78),IF($AE$90=2,AO37,IF($AE$90=3,AO37,IF($AE$90=4,AO37,"ERROR"))))</f>
        <v>#DIV/0!</v>
      </c>
      <c r="AR96" s="19"/>
      <c r="AS96" s="11" t="e">
        <f>IF($AE$90=1,AQ37*(1+W$78),IF($AE$90=2,AQ37,IF($AE$90=3,AQ37,IF($AE$90=4,AQ37,"ERROR"))))</f>
        <v>#DIV/0!</v>
      </c>
      <c r="AT96" s="11"/>
      <c r="AU96" s="1"/>
      <c r="AV96" s="1"/>
      <c r="AW96" s="1"/>
      <c r="AX96" s="1"/>
      <c r="AY96" s="1"/>
      <c r="AZ96" s="1"/>
    </row>
    <row r="97" spans="1:52" s="12" customFormat="1" ht="14.4" customHeight="1" thickBot="1" x14ac:dyDescent="0.35">
      <c r="A97" s="1"/>
      <c r="E97" s="223"/>
      <c r="F97" s="1"/>
      <c r="G97" s="283" t="str">
        <f>AB97</f>
        <v>Replacement Gilt Housing</v>
      </c>
      <c r="H97" s="284"/>
      <c r="I97" s="285"/>
      <c r="J97" s="285"/>
      <c r="K97" s="286" t="e">
        <f>IF($AA97,I38,0)</f>
        <v>#DIV/0!</v>
      </c>
      <c r="L97" s="286" t="s">
        <v>114</v>
      </c>
      <c r="M97" s="287"/>
      <c r="N97" s="260"/>
      <c r="O97" s="639" t="e">
        <f>IF($AA97,(IF($AE$90=1,AI38*(1+O$78),IF($AE$90=2,AI38,IF($AE$90=3,AI38,IF($AE$90=4,AI38,"ERROR"))))),0)</f>
        <v>#DIV/0!</v>
      </c>
      <c r="P97" s="640" t="s">
        <v>114</v>
      </c>
      <c r="Q97" s="647" t="e">
        <f>IF($AA97,(IF($AE$90=1,AK38*(1+Q$78),IF($AE$90=2,AK38,IF($AE$90=3,AK38,IF($AE$90=4,AK38,"ERROR"))))),0)</f>
        <v>#DIV/0!</v>
      </c>
      <c r="R97" s="648" t="s">
        <v>114</v>
      </c>
      <c r="S97" s="655" t="e">
        <f>IF($AA97,(IF($AE$90=1,AM38*(1+S$78),IF($AE$90=2,AM38,IF($AE$90=3,AM38,IF($AE$90=4,AM38,"ERROR"))))),0)</f>
        <v>#DIV/0!</v>
      </c>
      <c r="T97" s="656" t="s">
        <v>114</v>
      </c>
      <c r="U97" s="663" t="e">
        <f>IF($AA97,(IF($AE$90=1,AO38*(1+U$78),IF($AE$90=2,AO38,IF($AE$90=3,AO38,IF($AE$90=4,AO38,"ERROR"))))),0)</f>
        <v>#DIV/0!</v>
      </c>
      <c r="V97" s="664" t="s">
        <v>114</v>
      </c>
      <c r="W97" s="669" t="e">
        <f>IF($AA97,(IF($AE$90=1,AQ38*(1+W$78),IF($AE$90=2,AQ38,IF($AE$90=3,AQ38,IF($AE$90=4,AQ38,"ERROR"))))),0)</f>
        <v>#DIV/0!</v>
      </c>
      <c r="X97" s="292" t="s">
        <v>114</v>
      </c>
      <c r="Y97" s="1"/>
      <c r="Z97" s="1"/>
      <c r="AA97" s="263" t="b">
        <v>1</v>
      </c>
      <c r="AB97" s="1" t="s">
        <v>111</v>
      </c>
      <c r="AC97" s="1"/>
      <c r="AD97" s="1"/>
      <c r="AE97" s="212" t="str">
        <f>IF(AA97=TRUE,IF(AA66&gt;14,"OK","ERROR"))</f>
        <v>ERROR</v>
      </c>
      <c r="AF97" s="212" t="b">
        <f>IF(AA97=FALSE,IF(AB66&lt;1,"OK","ERROR"))</f>
        <v>0</v>
      </c>
      <c r="AG97" s="212"/>
      <c r="AH97" s="1"/>
      <c r="AI97" s="6"/>
      <c r="AJ97" s="272" t="str">
        <f>AB97</f>
        <v>Replacement Gilt Housing</v>
      </c>
      <c r="AK97" s="16" t="e">
        <f>IF($AE$90=1,AI38*(1+O$78),IF($AE$90=2,AI38,IF($AE$90=3,AI38,IF($AE$90=4,AI38,"ERROR"))))</f>
        <v>#DIV/0!</v>
      </c>
      <c r="AL97" s="16"/>
      <c r="AM97" s="17" t="e">
        <f>IF($AE$90=1,AK38*(1+Q$78),IF($AE$90=2,AK38,IF($AE$90=3,AK38,IF($AE$90=4,AK38,"ERROR"))))</f>
        <v>#DIV/0!</v>
      </c>
      <c r="AN97" s="17"/>
      <c r="AO97" s="18" t="e">
        <f>IF($AE$90=1,AM38*(1+S$78),IF($AE$90=2,AM38,IF($AE$90=3,AM38,IF($AE$90=4,AM38,"ERROR"))))</f>
        <v>#DIV/0!</v>
      </c>
      <c r="AP97" s="18"/>
      <c r="AQ97" s="19" t="e">
        <f>IF($AE$90=1,AO38*(1+U$78),IF($AE$90=2,AO38,IF($AE$90=3,AO38,IF($AE$90=4,AO38,"ERROR"))))</f>
        <v>#DIV/0!</v>
      </c>
      <c r="AR97" s="19"/>
      <c r="AS97" s="11" t="e">
        <f>IF($AE$90=1,AQ38*(1+W$78),IF($AE$90=2,AQ38,IF($AE$90=3,AQ38,IF($AE$90=4,AQ38,"ERROR"))))</f>
        <v>#DIV/0!</v>
      </c>
      <c r="AT97" s="11"/>
      <c r="AU97" s="1"/>
      <c r="AV97" s="1"/>
      <c r="AW97" s="1"/>
      <c r="AX97" s="1"/>
      <c r="AY97" s="1"/>
      <c r="AZ97" s="1"/>
    </row>
    <row r="98" spans="1:52" s="12" customFormat="1" ht="14.4" customHeight="1" thickBot="1" x14ac:dyDescent="0.35">
      <c r="A98" s="1"/>
      <c r="B98" s="38"/>
      <c r="C98" s="262"/>
      <c r="D98" s="1"/>
      <c r="E98" s="223"/>
      <c r="F98" s="1"/>
      <c r="G98" s="27"/>
      <c r="H98" s="1"/>
      <c r="I98" s="1"/>
      <c r="J98" s="38" t="s">
        <v>122</v>
      </c>
      <c r="K98" s="293" t="e">
        <f>SUM(K95:K97)</f>
        <v>#DIV/0!</v>
      </c>
      <c r="L98" s="294" t="s">
        <v>114</v>
      </c>
      <c r="M98" s="252"/>
      <c r="N98" s="252"/>
      <c r="O98" s="635" t="e">
        <f>SUM(O95:O97)</f>
        <v>#DIV/0!</v>
      </c>
      <c r="P98" s="636" t="s">
        <v>114</v>
      </c>
      <c r="Q98" s="643" t="e">
        <f>SUM(Q95:Q97)</f>
        <v>#DIV/0!</v>
      </c>
      <c r="R98" s="644" t="s">
        <v>114</v>
      </c>
      <c r="S98" s="651" t="e">
        <f>SUM(S95:S97)</f>
        <v>#DIV/0!</v>
      </c>
      <c r="T98" s="652" t="s">
        <v>114</v>
      </c>
      <c r="U98" s="659" t="e">
        <f>SUM(U95:U97)</f>
        <v>#DIV/0!</v>
      </c>
      <c r="V98" s="660" t="s">
        <v>114</v>
      </c>
      <c r="W98" s="667" t="e">
        <f>SUM(W95:W97)</f>
        <v>#DIV/0!</v>
      </c>
      <c r="X98" s="271" t="s">
        <v>114</v>
      </c>
      <c r="Y98" s="1"/>
      <c r="Z98" s="1"/>
      <c r="AA98" s="1"/>
      <c r="AB98" s="1"/>
      <c r="AC98" s="1"/>
      <c r="AD98" s="1"/>
      <c r="AE98" s="212"/>
      <c r="AF98" s="1"/>
      <c r="AG98" s="1"/>
      <c r="AH98" s="295"/>
      <c r="AI98" s="296"/>
      <c r="AJ98" s="297" t="str">
        <f>J98</f>
        <v>Total Females (Not in Farrowing)</v>
      </c>
      <c r="AK98" s="298" t="e">
        <f>SUM(AK95:AK97)</f>
        <v>#DIV/0!</v>
      </c>
      <c r="AL98" s="298"/>
      <c r="AM98" s="299" t="e">
        <f>SUM(AM95:AM97)</f>
        <v>#DIV/0!</v>
      </c>
      <c r="AN98" s="299"/>
      <c r="AO98" s="300" t="e">
        <f>SUM(AO95:AO97)</f>
        <v>#DIV/0!</v>
      </c>
      <c r="AP98" s="300"/>
      <c r="AQ98" s="301" t="e">
        <f>SUM(AQ95:AQ97)</f>
        <v>#DIV/0!</v>
      </c>
      <c r="AR98" s="301"/>
      <c r="AS98" s="302" t="e">
        <f>SUM(AS95:AS97)</f>
        <v>#DIV/0!</v>
      </c>
      <c r="AT98" s="303"/>
      <c r="AU98" s="1"/>
      <c r="AV98" s="1"/>
      <c r="AW98" s="1"/>
      <c r="AX98" s="1"/>
      <c r="AY98" s="1"/>
      <c r="AZ98" s="1"/>
    </row>
    <row r="99" spans="1:52" s="12" customFormat="1" ht="14.4" customHeight="1" x14ac:dyDescent="0.3">
      <c r="A99" s="1"/>
      <c r="B99" s="38"/>
      <c r="C99" s="262"/>
      <c r="D99" s="1"/>
      <c r="E99" s="40" t="str">
        <f>IF(AE95="ERROR",AA99,IF(AE96="ERROR",AA99,IF(AE97="ERROR",AA99,IF(AF95="ERROR",AA99,IF(AF96="ERROR",AA99,IF(AF97="ERROR",AA99,""))))))</f>
        <v>CAUTION! There is an inconsistency in the female space allocations lines 65, 66, and 67</v>
      </c>
      <c r="F99" s="1"/>
      <c r="G99" s="1"/>
      <c r="H99" s="1"/>
      <c r="I99" s="1"/>
      <c r="J99" s="1"/>
      <c r="K99" s="304" t="s">
        <v>117</v>
      </c>
      <c r="L99" s="192"/>
      <c r="M99" s="193"/>
      <c r="N99" s="193"/>
      <c r="O99" s="637" t="e">
        <f>O95*O64+O96*O65+O97*O66</f>
        <v>#DIV/0!</v>
      </c>
      <c r="P99" s="638" t="s">
        <v>34</v>
      </c>
      <c r="Q99" s="645" t="e">
        <f>Q95*Q64+Q96*Q65+Q97*Q66</f>
        <v>#DIV/0!</v>
      </c>
      <c r="R99" s="646" t="s">
        <v>34</v>
      </c>
      <c r="S99" s="653" t="e">
        <f>S95*S64+S96*S65+S97*S66</f>
        <v>#DIV/0!</v>
      </c>
      <c r="T99" s="654" t="s">
        <v>34</v>
      </c>
      <c r="U99" s="661" t="e">
        <f>U95*U64+U96*U65+U97*U66</f>
        <v>#DIV/0!</v>
      </c>
      <c r="V99" s="662" t="s">
        <v>34</v>
      </c>
      <c r="W99" s="668" t="e">
        <f>W95*W64+W96*W65+W97*W66</f>
        <v>#DIV/0!</v>
      </c>
      <c r="X99" s="282" t="s">
        <v>34</v>
      </c>
      <c r="Y99" s="40"/>
      <c r="Z99" s="1"/>
      <c r="AA99" s="40" t="s">
        <v>158</v>
      </c>
      <c r="AB99" s="1"/>
      <c r="AC99" s="1"/>
      <c r="AD99" s="1"/>
      <c r="AE99" s="1"/>
      <c r="AF99" s="1"/>
      <c r="AG99" s="1"/>
      <c r="AH99" s="1"/>
      <c r="AI99" s="6"/>
      <c r="AJ99" s="305" t="str">
        <f>K99</f>
        <v>Total Building Space Needed</v>
      </c>
      <c r="AK99" s="16" t="e">
        <f>AK95*O64+AK96*O65+AK97*O66</f>
        <v>#DIV/0!</v>
      </c>
      <c r="AL99" s="16"/>
      <c r="AM99" s="17" t="e">
        <f>AM95*Q64+AM96*Q65+AM97*Q66</f>
        <v>#DIV/0!</v>
      </c>
      <c r="AN99" s="17"/>
      <c r="AO99" s="18" t="e">
        <f>AO95*S64+AO96*S65+AO97*S66</f>
        <v>#DIV/0!</v>
      </c>
      <c r="AP99" s="18"/>
      <c r="AQ99" s="19" t="e">
        <f>AQ95*U64+AQ96*U65+AQ97*U66</f>
        <v>#DIV/0!</v>
      </c>
      <c r="AR99" s="19"/>
      <c r="AS99" s="11" t="e">
        <f>AS95*W64+AS96*W65+AS97*W66</f>
        <v>#DIV/0!</v>
      </c>
      <c r="AT99" s="11"/>
      <c r="AU99" s="1"/>
      <c r="AV99" s="1"/>
      <c r="AW99" s="1"/>
      <c r="AX99" s="1"/>
      <c r="AY99" s="1"/>
      <c r="AZ99" s="1"/>
    </row>
    <row r="100" spans="1:52" s="12" customFormat="1" ht="14.4" customHeight="1" thickBot="1" x14ac:dyDescent="0.35">
      <c r="A100" s="1"/>
      <c r="B100" s="38"/>
      <c r="C100" s="262"/>
      <c r="D100" s="1"/>
      <c r="E100" s="1"/>
      <c r="F100" s="1"/>
      <c r="G100" s="1"/>
      <c r="H100" s="1"/>
      <c r="I100" s="1"/>
      <c r="J100" s="1"/>
      <c r="K100" s="306" t="s">
        <v>138</v>
      </c>
      <c r="L100" s="307"/>
      <c r="M100" s="260"/>
      <c r="N100" s="260"/>
      <c r="O100" s="639" t="e">
        <f>IF($AE90=3,$O90,IF($AE90=4,0,IF($AE90=1,MIN(O99,$K70),IF($AE90=2,MIN(O99,$K70),ERROR))))</f>
        <v>#DIV/0!</v>
      </c>
      <c r="P100" s="640" t="s">
        <v>34</v>
      </c>
      <c r="Q100" s="647" t="e">
        <f>IF($AE90=3,$O90,IF($AE90=4,0,IF($AE90=1,MIN(Q99,$K70),IF($AE90=2,MIN(Q99,$K70),ERROR))))</f>
        <v>#DIV/0!</v>
      </c>
      <c r="R100" s="648" t="s">
        <v>34</v>
      </c>
      <c r="S100" s="655" t="e">
        <f>IF($AE90=3,$O90,IF($AE90=4,0,IF($AE90=1,MIN(S99,$K70),IF($AE90=2,MIN(S99,$K70),ERROR))))</f>
        <v>#DIV/0!</v>
      </c>
      <c r="T100" s="656" t="s">
        <v>34</v>
      </c>
      <c r="U100" s="663" t="e">
        <f>IF($AE90=3,$O90,IF($AE90=4,0,IF($AE90=1,MIN(U99,$K70),IF($AE90=2,MIN(U99,$K70),ERROR))))</f>
        <v>#DIV/0!</v>
      </c>
      <c r="V100" s="664" t="s">
        <v>34</v>
      </c>
      <c r="W100" s="669" t="e">
        <f>IF($AE90=3,$O90,IF($AE90=4,0,IF($AE90=1,MIN(W99,$K70),IF($AE90=2,MIN(W99,$K70),ERROR))))</f>
        <v>#DIV/0!</v>
      </c>
      <c r="X100" s="292" t="s">
        <v>34</v>
      </c>
      <c r="Y100" s="40"/>
      <c r="Z100" s="1"/>
      <c r="AA100" s="1"/>
      <c r="AB100" s="1"/>
      <c r="AC100" s="1"/>
      <c r="AD100" s="1"/>
      <c r="AE100" s="1"/>
      <c r="AF100" s="1"/>
      <c r="AG100" s="1"/>
      <c r="AH100" s="1"/>
      <c r="AI100" s="6"/>
      <c r="AJ100" s="305" t="str">
        <f>K100</f>
        <v>Existing Building Space to Remodel</v>
      </c>
      <c r="AK100" s="16" t="e">
        <f>IF(O99&gt;$K70,(IF($AE90=3,$O90,IF($AE90=4,0,IF($AE90=1,$K70,IF($AE90=2,$K70,ERROR))))),O99)</f>
        <v>#DIV/0!</v>
      </c>
      <c r="AL100" s="16"/>
      <c r="AM100" s="17" t="e">
        <f>IF(Q99&gt;$K70,(IF($AE90=3,$O90,IF($AE90=4,0,IF($AE90=1,$K70,IF($AE90=2,$K70,ERROR))))),Q99)</f>
        <v>#DIV/0!</v>
      </c>
      <c r="AN100" s="17"/>
      <c r="AO100" s="18" t="e">
        <f>IF(S99&gt;$K70,(IF($AE90=3,$O90,IF($AE90=4,0,IF($AE90=1,$K70,IF($AE90=2,$K70,ERROR))))),S99)</f>
        <v>#DIV/0!</v>
      </c>
      <c r="AP100" s="18"/>
      <c r="AQ100" s="19" t="e">
        <f>IF(U99&gt;$K70,(IF($AE90=3,$O90,IF($AE90=4,0,IF($AE90=1,$K70,IF($AE90=2,$K70,ERROR))))),U99)</f>
        <v>#DIV/0!</v>
      </c>
      <c r="AR100" s="19"/>
      <c r="AS100" s="11" t="e">
        <f>IF(W99&gt;$K70,(IF($AE90=3,$O90,IF($AE90=4,0,IF($AE90=1,$K70,IF($AE90=2,$K70,ERROR))))),W99)</f>
        <v>#DIV/0!</v>
      </c>
      <c r="AT100" s="11"/>
      <c r="AU100" s="1"/>
      <c r="AV100" s="1"/>
      <c r="AW100" s="1"/>
      <c r="AX100" s="1"/>
      <c r="AY100" s="1"/>
      <c r="AZ100" s="1"/>
    </row>
    <row r="101" spans="1:52" s="12" customFormat="1" ht="14.4" customHeight="1" x14ac:dyDescent="0.3">
      <c r="A101" s="1"/>
      <c r="B101" s="38"/>
      <c r="C101" s="262"/>
      <c r="D101" s="1"/>
      <c r="E101" s="1"/>
      <c r="F101" s="1"/>
      <c r="G101" s="1"/>
      <c r="H101" s="1"/>
      <c r="I101" s="1"/>
      <c r="J101" s="1"/>
      <c r="K101" s="308" t="s">
        <v>119</v>
      </c>
      <c r="L101" s="309"/>
      <c r="M101" s="310"/>
      <c r="N101" s="310"/>
      <c r="O101" s="635" t="e">
        <f>IF((O99-O100)&gt;1,O99-O100,0)</f>
        <v>#DIV/0!</v>
      </c>
      <c r="P101" s="636" t="s">
        <v>34</v>
      </c>
      <c r="Q101" s="643" t="e">
        <f>IF((Q99-Q100)&gt;1,Q99-Q100,0)</f>
        <v>#DIV/0!</v>
      </c>
      <c r="R101" s="644" t="s">
        <v>34</v>
      </c>
      <c r="S101" s="651" t="e">
        <f>IF((S99-S100)&gt;1,S99-S100,0)</f>
        <v>#DIV/0!</v>
      </c>
      <c r="T101" s="652" t="s">
        <v>34</v>
      </c>
      <c r="U101" s="659" t="e">
        <f>IF((U99-U100)&gt;1,U99-U100,0)</f>
        <v>#DIV/0!</v>
      </c>
      <c r="V101" s="660" t="s">
        <v>34</v>
      </c>
      <c r="W101" s="667" t="e">
        <f>IF((W99-W100)&gt;1,W99-W100,0)</f>
        <v>#DIV/0!</v>
      </c>
      <c r="X101" s="271" t="s">
        <v>34</v>
      </c>
      <c r="Y101" s="40"/>
      <c r="Z101" s="1"/>
      <c r="AA101" s="1"/>
      <c r="AB101" s="1"/>
      <c r="AC101" s="1"/>
      <c r="AD101" s="1"/>
      <c r="AE101" s="1"/>
      <c r="AF101" s="1"/>
      <c r="AG101" s="1"/>
      <c r="AH101" s="1"/>
      <c r="AI101" s="6"/>
      <c r="AJ101" s="305" t="str">
        <f>K101</f>
        <v>New Building Space to Add</v>
      </c>
      <c r="AK101" s="16"/>
      <c r="AL101" s="16"/>
      <c r="AM101" s="17"/>
      <c r="AN101" s="17"/>
      <c r="AO101" s="18"/>
      <c r="AP101" s="18"/>
      <c r="AQ101" s="19"/>
      <c r="AR101" s="19"/>
      <c r="AS101" s="11"/>
      <c r="AT101" s="11"/>
      <c r="AU101" s="1"/>
      <c r="AV101" s="1"/>
      <c r="AW101" s="1"/>
      <c r="AX101" s="1"/>
      <c r="AY101" s="1"/>
      <c r="AZ101" s="1"/>
    </row>
    <row r="102" spans="1:52" s="12" customFormat="1" ht="14.4" customHeight="1" thickBot="1" x14ac:dyDescent="0.35">
      <c r="A102" s="1"/>
      <c r="B102" s="38"/>
      <c r="C102" s="262"/>
      <c r="D102" s="1"/>
      <c r="E102" s="1"/>
      <c r="F102" s="1"/>
      <c r="G102" s="1"/>
      <c r="H102" s="1"/>
      <c r="I102" s="1"/>
      <c r="J102" s="1"/>
      <c r="K102" s="306" t="s">
        <v>130</v>
      </c>
      <c r="L102" s="307"/>
      <c r="M102" s="260"/>
      <c r="N102" s="311"/>
      <c r="O102" s="639">
        <f>IF($AE90=1,O79,O61)</f>
        <v>0</v>
      </c>
      <c r="P102" s="640" t="s">
        <v>114</v>
      </c>
      <c r="Q102" s="647">
        <f>IF($AE90=1,Q79,Q61)</f>
        <v>0</v>
      </c>
      <c r="R102" s="648" t="s">
        <v>114</v>
      </c>
      <c r="S102" s="655">
        <f>IF($AE90=1,S79,S61)</f>
        <v>0</v>
      </c>
      <c r="T102" s="656" t="s">
        <v>114</v>
      </c>
      <c r="U102" s="663">
        <f>IF($AE90=1,U79,U61)</f>
        <v>0</v>
      </c>
      <c r="V102" s="664" t="s">
        <v>114</v>
      </c>
      <c r="W102" s="669">
        <f>IF($AE90=1,W79,W61)</f>
        <v>0</v>
      </c>
      <c r="X102" s="292" t="s">
        <v>114</v>
      </c>
      <c r="Y102" s="1"/>
      <c r="Z102" s="1"/>
      <c r="AA102" s="1"/>
      <c r="AB102" s="1"/>
      <c r="AC102" s="1"/>
      <c r="AD102" s="1"/>
      <c r="AE102" s="1"/>
      <c r="AF102" s="1"/>
      <c r="AG102" s="1"/>
      <c r="AH102" s="1"/>
      <c r="AI102" s="6"/>
      <c r="AJ102" s="272"/>
      <c r="AK102" s="16"/>
      <c r="AL102" s="16"/>
      <c r="AM102" s="17"/>
      <c r="AN102" s="17"/>
      <c r="AO102" s="18"/>
      <c r="AP102" s="18"/>
      <c r="AQ102" s="19"/>
      <c r="AR102" s="19"/>
      <c r="AS102" s="11"/>
      <c r="AT102" s="11"/>
      <c r="AU102" s="1"/>
      <c r="AV102" s="1"/>
      <c r="AW102" s="1"/>
      <c r="AX102" s="1"/>
      <c r="AY102" s="1"/>
      <c r="AZ102" s="1"/>
    </row>
    <row r="103" spans="1:52" s="12" customFormat="1" ht="14.4" customHeight="1" thickBot="1" x14ac:dyDescent="0.35">
      <c r="B103" s="312"/>
      <c r="C103" s="312"/>
      <c r="D103" s="312"/>
      <c r="E103" s="312"/>
      <c r="F103" s="312"/>
      <c r="G103" s="312"/>
      <c r="H103" s="312"/>
      <c r="I103" s="312"/>
      <c r="J103" s="312"/>
      <c r="K103" s="312"/>
      <c r="L103" s="312"/>
      <c r="M103" s="312"/>
      <c r="N103" s="1"/>
      <c r="O103" s="1"/>
      <c r="P103" s="1"/>
      <c r="Q103" s="1"/>
      <c r="R103" s="1"/>
      <c r="S103" s="1"/>
      <c r="T103" s="1"/>
      <c r="U103" s="1"/>
      <c r="V103" s="1"/>
      <c r="W103" s="1"/>
      <c r="X103" s="1"/>
      <c r="Y103" s="1"/>
      <c r="Z103" s="1"/>
      <c r="AA103" s="1"/>
      <c r="AB103" s="1"/>
      <c r="AC103" s="1"/>
      <c r="AD103" s="1"/>
      <c r="AE103" s="1"/>
      <c r="AF103" s="1"/>
      <c r="AG103" s="1"/>
      <c r="AH103" s="1"/>
      <c r="AI103" s="6"/>
      <c r="AJ103" s="272"/>
      <c r="AK103" s="16"/>
      <c r="AL103" s="16"/>
      <c r="AM103" s="17"/>
      <c r="AN103" s="17"/>
      <c r="AO103" s="18"/>
      <c r="AP103" s="18"/>
      <c r="AQ103" s="19"/>
      <c r="AR103" s="19"/>
      <c r="AS103" s="11"/>
      <c r="AT103" s="11"/>
      <c r="AU103" s="1"/>
      <c r="AV103" s="1"/>
      <c r="AW103" s="1"/>
      <c r="AX103" s="1"/>
      <c r="AY103" s="1"/>
      <c r="AZ103" s="1"/>
    </row>
    <row r="104" spans="1:52" s="12" customFormat="1" ht="14.4" customHeight="1" thickBot="1" x14ac:dyDescent="0.35">
      <c r="A104" s="40"/>
      <c r="B104" s="1"/>
      <c r="C104" s="1"/>
      <c r="D104" s="1"/>
      <c r="E104" s="1"/>
      <c r="F104" s="1"/>
      <c r="G104" s="313"/>
      <c r="H104" s="313"/>
      <c r="I104" s="314"/>
      <c r="J104" s="313"/>
      <c r="K104" s="379" t="str">
        <f>K55</f>
        <v>Existing Production System</v>
      </c>
      <c r="L104" s="379"/>
      <c r="M104" s="315"/>
      <c r="N104" s="316" t="s">
        <v>189</v>
      </c>
      <c r="O104" s="1268">
        <f>O56</f>
        <v>1</v>
      </c>
      <c r="P104" s="1269"/>
      <c r="Q104" s="1270">
        <f>Q56</f>
        <v>2</v>
      </c>
      <c r="R104" s="1271"/>
      <c r="S104" s="1272">
        <f>S56</f>
        <v>3</v>
      </c>
      <c r="T104" s="1273"/>
      <c r="U104" s="1274">
        <f>U56</f>
        <v>4</v>
      </c>
      <c r="V104" s="1275"/>
      <c r="W104" s="1276">
        <f>W56</f>
        <v>5</v>
      </c>
      <c r="X104" s="1277"/>
      <c r="Y104" s="1"/>
      <c r="Z104" s="1"/>
      <c r="AA104" s="1"/>
      <c r="AB104" s="1"/>
      <c r="AC104" s="1"/>
      <c r="AD104" s="1"/>
      <c r="AE104" s="1"/>
      <c r="AF104" s="1"/>
      <c r="AG104" s="1"/>
      <c r="AH104" s="1"/>
      <c r="AI104" s="6"/>
      <c r="AJ104" s="6"/>
      <c r="AK104" s="16"/>
      <c r="AL104" s="16"/>
      <c r="AM104" s="17"/>
      <c r="AN104" s="17"/>
      <c r="AO104" s="18"/>
      <c r="AP104" s="18"/>
      <c r="AQ104" s="19"/>
      <c r="AR104" s="19"/>
      <c r="AS104" s="11"/>
      <c r="AT104" s="11"/>
      <c r="AU104" s="1"/>
      <c r="AV104" s="1"/>
      <c r="AW104" s="1"/>
      <c r="AX104" s="1"/>
      <c r="AY104" s="1"/>
      <c r="AZ104" s="1"/>
    </row>
    <row r="105" spans="1:52" s="12" customFormat="1" ht="14.4" customHeight="1" x14ac:dyDescent="0.3">
      <c r="A105" s="1"/>
      <c r="B105" s="206"/>
      <c r="C105" s="1"/>
      <c r="D105" s="1"/>
      <c r="E105" s="1"/>
      <c r="F105" s="40"/>
      <c r="G105" s="1"/>
      <c r="H105" s="1"/>
      <c r="I105" s="1"/>
      <c r="J105" s="214"/>
      <c r="K105" s="613" t="s">
        <v>137</v>
      </c>
      <c r="L105" s="614"/>
      <c r="M105" s="611"/>
      <c r="N105" s="193" t="s">
        <v>135</v>
      </c>
      <c r="O105" s="615" t="str">
        <f>IF($AE$90=1,$AA$90,IF($AE$90=2,$AA$91,IF($AE$90=3,$AA$92,IF($AE$90=4,$AA$93,"ERROR"))))</f>
        <v>2. Remodel Existing &amp; Add Space (to produce same number of pigs)</v>
      </c>
      <c r="P105" s="617"/>
      <c r="Q105" s="619" t="str">
        <f>IF($AE$90=1,$AA$90,IF($AE$90=2,$AA$91,IF($AE$90=3,$AA$92,IF($AE$90=4,$AA$93,"ERROR"))))</f>
        <v>2. Remodel Existing &amp; Add Space (to produce same number of pigs)</v>
      </c>
      <c r="R105" s="620"/>
      <c r="S105" s="623" t="str">
        <f>IF($AE$90=1,$AA$90,IF($AE$90=2,$AA$91,IF($AE$90=3,$AA$92,IF($AE$90=4,$AA$93,"ERROR"))))</f>
        <v>2. Remodel Existing &amp; Add Space (to produce same number of pigs)</v>
      </c>
      <c r="T105" s="624"/>
      <c r="U105" s="627" t="str">
        <f>IF($AE$90=1,$AA$90,IF($AE$90=2,$AA$91,IF($AE$90=3,$AA$92,IF($AE$90=4,$AA$93,"ERROR"))))</f>
        <v>2. Remodel Existing &amp; Add Space (to produce same number of pigs)</v>
      </c>
      <c r="V105" s="628"/>
      <c r="W105" s="631" t="str">
        <f>IF($AE$90=1,$AA$90,IF($AE$90=2,$AA$91,IF($AE$90=3,$AA$92,IF($AE$90=4,$AA$93,"ERROR"))))</f>
        <v>2. Remodel Existing &amp; Add Space (to produce same number of pigs)</v>
      </c>
      <c r="X105" s="317"/>
      <c r="Y105" s="1" t="s">
        <v>235</v>
      </c>
      <c r="Z105" s="1"/>
      <c r="AA105" s="1"/>
      <c r="AB105" s="1"/>
      <c r="AC105" s="1"/>
      <c r="AD105" s="1"/>
      <c r="AE105" s="1"/>
      <c r="AF105" s="1"/>
      <c r="AG105" s="1"/>
      <c r="AH105" s="1"/>
      <c r="AI105" s="6"/>
      <c r="AJ105" s="6"/>
      <c r="AK105" s="16"/>
      <c r="AL105" s="16"/>
      <c r="AM105" s="17"/>
      <c r="AN105" s="17"/>
      <c r="AO105" s="18"/>
      <c r="AP105" s="18"/>
      <c r="AQ105" s="19"/>
      <c r="AR105" s="19"/>
      <c r="AS105" s="11"/>
      <c r="AT105" s="11"/>
      <c r="AU105" s="1"/>
      <c r="AV105" s="1"/>
      <c r="AW105" s="1"/>
      <c r="AX105" s="1"/>
      <c r="AY105" s="1"/>
      <c r="AZ105" s="1"/>
    </row>
    <row r="106" spans="1:52" s="12" customFormat="1" ht="31.2" customHeight="1" thickBot="1" x14ac:dyDescent="0.35">
      <c r="A106" s="1"/>
      <c r="B106" s="1"/>
      <c r="C106" s="1"/>
      <c r="D106" s="3"/>
      <c r="E106" s="1"/>
      <c r="F106" s="1"/>
      <c r="G106" s="223"/>
      <c r="H106" s="223"/>
      <c r="I106" s="223"/>
      <c r="J106" s="223"/>
      <c r="K106" s="318" t="s">
        <v>126</v>
      </c>
      <c r="L106" s="319" t="s">
        <v>40</v>
      </c>
      <c r="M106" s="612" t="s">
        <v>124</v>
      </c>
      <c r="N106" s="320" t="s">
        <v>125</v>
      </c>
      <c r="O106" s="616" t="s">
        <v>126</v>
      </c>
      <c r="P106" s="618" t="s">
        <v>40</v>
      </c>
      <c r="Q106" s="621" t="s">
        <v>126</v>
      </c>
      <c r="R106" s="622" t="s">
        <v>40</v>
      </c>
      <c r="S106" s="625" t="s">
        <v>126</v>
      </c>
      <c r="T106" s="626" t="s">
        <v>40</v>
      </c>
      <c r="U106" s="629" t="s">
        <v>126</v>
      </c>
      <c r="V106" s="630" t="s">
        <v>40</v>
      </c>
      <c r="W106" s="632" t="s">
        <v>126</v>
      </c>
      <c r="X106" s="377" t="s">
        <v>40</v>
      </c>
      <c r="Y106" s="265"/>
      <c r="Z106" s="265"/>
      <c r="AA106" s="265"/>
      <c r="AB106" s="265"/>
      <c r="AC106" s="265"/>
      <c r="AD106" s="265"/>
      <c r="AE106" s="265"/>
      <c r="AF106" s="265"/>
      <c r="AG106" s="265"/>
      <c r="AH106" s="1"/>
      <c r="AI106" s="6"/>
      <c r="AJ106" s="6"/>
      <c r="AK106" s="16" t="s">
        <v>55</v>
      </c>
      <c r="AL106" s="16"/>
      <c r="AM106" s="17"/>
      <c r="AN106" s="17"/>
      <c r="AO106" s="18"/>
      <c r="AP106" s="18"/>
      <c r="AQ106" s="19"/>
      <c r="AR106" s="19"/>
      <c r="AS106" s="11"/>
      <c r="AT106" s="11"/>
      <c r="AU106" s="1"/>
      <c r="AV106" s="1"/>
      <c r="AW106" s="1"/>
      <c r="AX106" s="1"/>
      <c r="AY106" s="1"/>
      <c r="AZ106" s="1"/>
    </row>
    <row r="107" spans="1:52" s="12" customFormat="1" ht="14.4" customHeight="1" x14ac:dyDescent="0.3">
      <c r="A107" s="1"/>
      <c r="B107" s="1"/>
      <c r="C107" s="2"/>
      <c r="D107" s="3"/>
      <c r="E107" s="1"/>
      <c r="F107" s="1"/>
      <c r="G107" s="1"/>
      <c r="H107" s="14" t="s">
        <v>7</v>
      </c>
      <c r="I107" s="13"/>
      <c r="J107" s="13"/>
      <c r="K107" s="602"/>
      <c r="L107" s="15"/>
      <c r="M107" s="588"/>
      <c r="N107" s="606" t="s">
        <v>90</v>
      </c>
      <c r="O107" s="602"/>
      <c r="P107" s="15"/>
      <c r="Q107" s="602"/>
      <c r="R107" s="15"/>
      <c r="S107" s="602"/>
      <c r="T107" s="15"/>
      <c r="U107" s="602"/>
      <c r="V107" s="15"/>
      <c r="W107" s="602"/>
      <c r="X107" s="15"/>
      <c r="Y107" s="1" t="s">
        <v>235</v>
      </c>
      <c r="Z107" s="1"/>
      <c r="AA107" s="1"/>
      <c r="AB107" s="1"/>
      <c r="AC107" s="1"/>
      <c r="AD107" s="1"/>
      <c r="AE107" s="1"/>
      <c r="AF107" s="1"/>
      <c r="AG107" s="1"/>
      <c r="AH107" s="16" t="e">
        <f t="shared" ref="AH107:AH132" si="0">PMT($I$42,L107,K107,0,0)</f>
        <v>#NUM!</v>
      </c>
      <c r="AI107" s="6"/>
      <c r="AJ107" s="6"/>
      <c r="AK107" s="16" t="e">
        <f t="shared" ref="AK107:AK132" si="1">PMT($I$42,P107,O107,0,0)</f>
        <v>#NUM!</v>
      </c>
      <c r="AL107" s="16"/>
      <c r="AM107" s="17" t="e">
        <f t="shared" ref="AM107:AM132" si="2">PMT($I$42,R107,Q107,0,0)</f>
        <v>#NUM!</v>
      </c>
      <c r="AN107" s="17"/>
      <c r="AO107" s="18" t="e">
        <f t="shared" ref="AO107:AO132" si="3">PMT($I$42,T107,S107,0,0)</f>
        <v>#NUM!</v>
      </c>
      <c r="AP107" s="18"/>
      <c r="AQ107" s="19" t="e">
        <f t="shared" ref="AQ107:AQ132" si="4">PMT($I$42,V107,U107,0,0)</f>
        <v>#NUM!</v>
      </c>
      <c r="AR107" s="19"/>
      <c r="AS107" s="11" t="e">
        <f t="shared" ref="AS107:AS132" si="5">PMT($I$42,X107,W107,0,0)</f>
        <v>#NUM!</v>
      </c>
      <c r="AT107" s="11"/>
      <c r="AU107" s="1"/>
      <c r="AV107" s="1"/>
      <c r="AW107" s="1"/>
      <c r="AX107" s="1"/>
      <c r="AY107" s="1"/>
      <c r="AZ107" s="1"/>
    </row>
    <row r="108" spans="1:52" s="12" customFormat="1" ht="14.4" customHeight="1" x14ac:dyDescent="0.3">
      <c r="A108" s="1"/>
      <c r="B108" s="1"/>
      <c r="C108" s="2"/>
      <c r="D108" s="20"/>
      <c r="E108" s="1"/>
      <c r="F108" s="1"/>
      <c r="G108" s="1"/>
      <c r="H108" s="21" t="s">
        <v>8</v>
      </c>
      <c r="I108" s="22"/>
      <c r="J108" s="22"/>
      <c r="K108" s="603"/>
      <c r="L108" s="23"/>
      <c r="M108" s="589"/>
      <c r="N108" s="607" t="s">
        <v>90</v>
      </c>
      <c r="O108" s="603"/>
      <c r="P108" s="23"/>
      <c r="Q108" s="603"/>
      <c r="R108" s="23"/>
      <c r="S108" s="603"/>
      <c r="T108" s="23"/>
      <c r="U108" s="603"/>
      <c r="V108" s="23"/>
      <c r="W108" s="603"/>
      <c r="X108" s="23"/>
      <c r="Y108" s="1"/>
      <c r="Z108" s="1"/>
      <c r="AA108" s="1"/>
      <c r="AB108" s="1"/>
      <c r="AC108" s="1"/>
      <c r="AD108" s="1"/>
      <c r="AE108" s="1"/>
      <c r="AF108" s="1"/>
      <c r="AG108" s="1"/>
      <c r="AH108" s="16" t="e">
        <f t="shared" si="0"/>
        <v>#NUM!</v>
      </c>
      <c r="AI108" s="6"/>
      <c r="AJ108" s="6"/>
      <c r="AK108" s="16" t="e">
        <f t="shared" si="1"/>
        <v>#NUM!</v>
      </c>
      <c r="AL108" s="16"/>
      <c r="AM108" s="17" t="e">
        <f t="shared" si="2"/>
        <v>#NUM!</v>
      </c>
      <c r="AN108" s="17"/>
      <c r="AO108" s="18" t="e">
        <f t="shared" si="3"/>
        <v>#NUM!</v>
      </c>
      <c r="AP108" s="18"/>
      <c r="AQ108" s="19" t="e">
        <f t="shared" si="4"/>
        <v>#NUM!</v>
      </c>
      <c r="AR108" s="19"/>
      <c r="AS108" s="11" t="e">
        <f t="shared" si="5"/>
        <v>#NUM!</v>
      </c>
      <c r="AT108" s="11"/>
      <c r="AU108" s="1"/>
      <c r="AV108" s="1"/>
      <c r="AW108" s="1"/>
      <c r="AX108" s="1"/>
      <c r="AY108" s="1"/>
      <c r="AZ108" s="1"/>
    </row>
    <row r="109" spans="1:52" s="12" customFormat="1" ht="14.4" customHeight="1" thickBot="1" x14ac:dyDescent="0.35">
      <c r="A109" s="1"/>
      <c r="B109" s="1"/>
      <c r="C109" s="2"/>
      <c r="D109" s="3"/>
      <c r="E109" s="1"/>
      <c r="F109" s="1"/>
      <c r="G109" s="1"/>
      <c r="H109" s="24" t="s">
        <v>9</v>
      </c>
      <c r="I109" s="25"/>
      <c r="J109" s="25"/>
      <c r="K109" s="604"/>
      <c r="L109" s="4"/>
      <c r="M109" s="590"/>
      <c r="N109" s="608" t="s">
        <v>90</v>
      </c>
      <c r="O109" s="604"/>
      <c r="P109" s="4"/>
      <c r="Q109" s="604"/>
      <c r="R109" s="4"/>
      <c r="S109" s="604"/>
      <c r="T109" s="4"/>
      <c r="U109" s="604"/>
      <c r="V109" s="4"/>
      <c r="W109" s="604"/>
      <c r="X109" s="4"/>
      <c r="Y109" s="1"/>
      <c r="Z109" s="1"/>
      <c r="AA109" s="1"/>
      <c r="AB109" s="1"/>
      <c r="AC109" s="1"/>
      <c r="AD109" s="1"/>
      <c r="AE109" s="1"/>
      <c r="AF109" s="1"/>
      <c r="AG109" s="1"/>
      <c r="AH109" s="16" t="e">
        <f t="shared" si="0"/>
        <v>#NUM!</v>
      </c>
      <c r="AI109" s="6"/>
      <c r="AJ109" s="6"/>
      <c r="AK109" s="16" t="e">
        <f t="shared" si="1"/>
        <v>#NUM!</v>
      </c>
      <c r="AL109" s="16"/>
      <c r="AM109" s="17" t="e">
        <f t="shared" si="2"/>
        <v>#NUM!</v>
      </c>
      <c r="AN109" s="17"/>
      <c r="AO109" s="18" t="e">
        <f t="shared" si="3"/>
        <v>#NUM!</v>
      </c>
      <c r="AP109" s="18"/>
      <c r="AQ109" s="19" t="e">
        <f t="shared" si="4"/>
        <v>#NUM!</v>
      </c>
      <c r="AR109" s="19"/>
      <c r="AS109" s="11" t="e">
        <f t="shared" si="5"/>
        <v>#NUM!</v>
      </c>
      <c r="AT109" s="11"/>
      <c r="AU109" s="1"/>
      <c r="AV109" s="1"/>
      <c r="AW109" s="1"/>
      <c r="AX109" s="1"/>
      <c r="AY109" s="1"/>
      <c r="AZ109" s="1"/>
    </row>
    <row r="110" spans="1:52" s="12" customFormat="1" ht="14.4" customHeight="1" x14ac:dyDescent="0.3">
      <c r="A110" s="1"/>
      <c r="B110" s="1"/>
      <c r="C110" s="2"/>
      <c r="D110" s="20"/>
      <c r="E110" s="1"/>
      <c r="F110" s="1"/>
      <c r="G110" s="1"/>
      <c r="H110" s="14"/>
      <c r="I110" s="13" t="s">
        <v>41</v>
      </c>
      <c r="J110" s="13"/>
      <c r="K110" s="602"/>
      <c r="L110" s="15"/>
      <c r="M110" s="591"/>
      <c r="N110" s="609" t="s">
        <v>90</v>
      </c>
      <c r="O110" s="602"/>
      <c r="P110" s="15"/>
      <c r="Q110" s="602"/>
      <c r="R110" s="15"/>
      <c r="S110" s="602"/>
      <c r="T110" s="15"/>
      <c r="U110" s="602"/>
      <c r="V110" s="15"/>
      <c r="W110" s="602"/>
      <c r="X110" s="15"/>
      <c r="Y110" s="1"/>
      <c r="Z110" s="1"/>
      <c r="AA110" s="1"/>
      <c r="AB110" s="1"/>
      <c r="AC110" s="1"/>
      <c r="AD110" s="1"/>
      <c r="AE110" s="1"/>
      <c r="AF110" s="1"/>
      <c r="AG110" s="1"/>
      <c r="AH110" s="16" t="e">
        <f t="shared" si="0"/>
        <v>#NUM!</v>
      </c>
      <c r="AI110" s="6"/>
      <c r="AJ110" s="6"/>
      <c r="AK110" s="16" t="e">
        <f t="shared" si="1"/>
        <v>#NUM!</v>
      </c>
      <c r="AL110" s="16"/>
      <c r="AM110" s="17" t="e">
        <f t="shared" si="2"/>
        <v>#NUM!</v>
      </c>
      <c r="AN110" s="17"/>
      <c r="AO110" s="18" t="e">
        <f t="shared" si="3"/>
        <v>#NUM!</v>
      </c>
      <c r="AP110" s="18"/>
      <c r="AQ110" s="19" t="e">
        <f t="shared" si="4"/>
        <v>#NUM!</v>
      </c>
      <c r="AR110" s="19"/>
      <c r="AS110" s="11" t="e">
        <f t="shared" si="5"/>
        <v>#NUM!</v>
      </c>
      <c r="AT110" s="11"/>
      <c r="AU110" s="1"/>
      <c r="AV110" s="1"/>
      <c r="AW110" s="1"/>
      <c r="AX110" s="1"/>
      <c r="AY110" s="1"/>
      <c r="AZ110" s="1"/>
    </row>
    <row r="111" spans="1:52" s="12" customFormat="1" ht="14.4" customHeight="1" x14ac:dyDescent="0.3">
      <c r="A111" s="1"/>
      <c r="B111" s="1"/>
      <c r="C111" s="2"/>
      <c r="D111" s="3"/>
      <c r="E111" s="1"/>
      <c r="F111" s="1"/>
      <c r="G111" s="1"/>
      <c r="H111" s="21"/>
      <c r="I111" s="22" t="s">
        <v>10</v>
      </c>
      <c r="J111" s="22"/>
      <c r="K111" s="603"/>
      <c r="L111" s="23"/>
      <c r="M111" s="589"/>
      <c r="N111" s="607" t="s">
        <v>90</v>
      </c>
      <c r="O111" s="603"/>
      <c r="P111" s="23"/>
      <c r="Q111" s="603"/>
      <c r="R111" s="23"/>
      <c r="S111" s="603"/>
      <c r="T111" s="23"/>
      <c r="U111" s="603"/>
      <c r="V111" s="23"/>
      <c r="W111" s="603"/>
      <c r="X111" s="23"/>
      <c r="Y111" s="26"/>
      <c r="Z111" s="1"/>
      <c r="AA111" s="1"/>
      <c r="AB111" s="1"/>
      <c r="AC111" s="1"/>
      <c r="AD111" s="1"/>
      <c r="AE111" s="1"/>
      <c r="AF111" s="1"/>
      <c r="AG111" s="1"/>
      <c r="AH111" s="16" t="e">
        <f t="shared" si="0"/>
        <v>#NUM!</v>
      </c>
      <c r="AI111" s="6"/>
      <c r="AJ111" s="6"/>
      <c r="AK111" s="16" t="e">
        <f t="shared" si="1"/>
        <v>#NUM!</v>
      </c>
      <c r="AL111" s="16"/>
      <c r="AM111" s="17" t="e">
        <f t="shared" si="2"/>
        <v>#NUM!</v>
      </c>
      <c r="AN111" s="17"/>
      <c r="AO111" s="18" t="e">
        <f t="shared" si="3"/>
        <v>#NUM!</v>
      </c>
      <c r="AP111" s="18"/>
      <c r="AQ111" s="19" t="e">
        <f t="shared" si="4"/>
        <v>#NUM!</v>
      </c>
      <c r="AR111" s="19"/>
      <c r="AS111" s="11" t="e">
        <f t="shared" si="5"/>
        <v>#NUM!</v>
      </c>
      <c r="AT111" s="11"/>
      <c r="AU111" s="1"/>
      <c r="AV111" s="1"/>
      <c r="AW111" s="1"/>
      <c r="AX111" s="1"/>
      <c r="AY111" s="1"/>
      <c r="AZ111" s="1"/>
    </row>
    <row r="112" spans="1:52" s="12" customFormat="1" ht="14.4" customHeight="1" thickBot="1" x14ac:dyDescent="0.35">
      <c r="A112" s="1"/>
      <c r="B112" s="1"/>
      <c r="C112" s="2"/>
      <c r="D112" s="20"/>
      <c r="E112" s="1"/>
      <c r="F112" s="1"/>
      <c r="G112" s="1"/>
      <c r="H112" s="24" t="s">
        <v>71</v>
      </c>
      <c r="I112" s="25"/>
      <c r="J112" s="25"/>
      <c r="K112" s="604"/>
      <c r="L112" s="4"/>
      <c r="M112" s="590"/>
      <c r="N112" s="608" t="s">
        <v>90</v>
      </c>
      <c r="O112" s="604"/>
      <c r="P112" s="4"/>
      <c r="Q112" s="604"/>
      <c r="R112" s="4"/>
      <c r="S112" s="604"/>
      <c r="T112" s="4"/>
      <c r="U112" s="604"/>
      <c r="V112" s="4"/>
      <c r="W112" s="604"/>
      <c r="X112" s="4"/>
      <c r="Y112" s="26"/>
      <c r="Z112" s="1"/>
      <c r="AA112" s="1"/>
      <c r="AB112" s="1"/>
      <c r="AC112" s="1"/>
      <c r="AD112" s="1"/>
      <c r="AE112" s="1"/>
      <c r="AF112" s="1"/>
      <c r="AG112" s="1"/>
      <c r="AH112" s="16" t="e">
        <f t="shared" si="0"/>
        <v>#NUM!</v>
      </c>
      <c r="AI112" s="6"/>
      <c r="AJ112" s="6"/>
      <c r="AK112" s="16" t="e">
        <f t="shared" si="1"/>
        <v>#NUM!</v>
      </c>
      <c r="AL112" s="16"/>
      <c r="AM112" s="17" t="e">
        <f t="shared" si="2"/>
        <v>#NUM!</v>
      </c>
      <c r="AN112" s="17"/>
      <c r="AO112" s="18" t="e">
        <f t="shared" si="3"/>
        <v>#NUM!</v>
      </c>
      <c r="AP112" s="18"/>
      <c r="AQ112" s="19" t="e">
        <f t="shared" si="4"/>
        <v>#NUM!</v>
      </c>
      <c r="AR112" s="19"/>
      <c r="AS112" s="11" t="e">
        <f t="shared" si="5"/>
        <v>#NUM!</v>
      </c>
      <c r="AT112" s="11"/>
      <c r="AU112" s="1"/>
      <c r="AV112" s="1"/>
      <c r="AW112" s="1"/>
      <c r="AX112" s="1"/>
      <c r="AY112" s="1"/>
      <c r="AZ112" s="1"/>
    </row>
    <row r="113" spans="1:52" s="12" customFormat="1" ht="14.4" customHeight="1" x14ac:dyDescent="0.3">
      <c r="A113" s="1"/>
      <c r="B113" s="1"/>
      <c r="C113" s="2"/>
      <c r="D113" s="3"/>
      <c r="E113" s="27"/>
      <c r="F113" s="1"/>
      <c r="G113" s="1"/>
      <c r="H113" s="14" t="s">
        <v>11</v>
      </c>
      <c r="I113" s="13"/>
      <c r="J113" s="13"/>
      <c r="K113" s="602"/>
      <c r="L113" s="15"/>
      <c r="M113" s="591"/>
      <c r="N113" s="609" t="s">
        <v>90</v>
      </c>
      <c r="O113" s="602"/>
      <c r="P113" s="15"/>
      <c r="Q113" s="602"/>
      <c r="R113" s="15"/>
      <c r="S113" s="602"/>
      <c r="T113" s="15"/>
      <c r="U113" s="602"/>
      <c r="V113" s="15"/>
      <c r="W113" s="602"/>
      <c r="X113" s="15"/>
      <c r="Y113" s="26"/>
      <c r="Z113" s="1"/>
      <c r="AA113" s="1"/>
      <c r="AB113" s="1"/>
      <c r="AC113" s="1"/>
      <c r="AD113" s="1"/>
      <c r="AE113" s="1"/>
      <c r="AF113" s="1"/>
      <c r="AG113" s="1"/>
      <c r="AH113" s="16" t="e">
        <f t="shared" si="0"/>
        <v>#NUM!</v>
      </c>
      <c r="AI113" s="6"/>
      <c r="AJ113" s="6"/>
      <c r="AK113" s="16" t="e">
        <f t="shared" si="1"/>
        <v>#NUM!</v>
      </c>
      <c r="AL113" s="16"/>
      <c r="AM113" s="17" t="e">
        <f t="shared" si="2"/>
        <v>#NUM!</v>
      </c>
      <c r="AN113" s="17"/>
      <c r="AO113" s="18" t="e">
        <f t="shared" si="3"/>
        <v>#NUM!</v>
      </c>
      <c r="AP113" s="18"/>
      <c r="AQ113" s="19" t="e">
        <f t="shared" si="4"/>
        <v>#NUM!</v>
      </c>
      <c r="AR113" s="19"/>
      <c r="AS113" s="11" t="e">
        <f t="shared" si="5"/>
        <v>#NUM!</v>
      </c>
      <c r="AT113" s="11"/>
      <c r="AU113" s="1"/>
      <c r="AV113" s="1"/>
      <c r="AW113" s="1"/>
      <c r="AX113" s="1"/>
      <c r="AY113" s="1"/>
      <c r="AZ113" s="1"/>
    </row>
    <row r="114" spans="1:52" s="12" customFormat="1" ht="14.4" customHeight="1" x14ac:dyDescent="0.3">
      <c r="A114" s="1"/>
      <c r="B114" s="1"/>
      <c r="C114" s="2"/>
      <c r="D114" s="20"/>
      <c r="E114" s="1"/>
      <c r="F114" s="1"/>
      <c r="G114" s="1"/>
      <c r="H114" s="21" t="s">
        <v>12</v>
      </c>
      <c r="I114" s="22"/>
      <c r="J114" s="22"/>
      <c r="K114" s="603"/>
      <c r="L114" s="23"/>
      <c r="M114" s="589"/>
      <c r="N114" s="607" t="s">
        <v>90</v>
      </c>
      <c r="O114" s="603"/>
      <c r="P114" s="23"/>
      <c r="Q114" s="603"/>
      <c r="R114" s="23"/>
      <c r="S114" s="603"/>
      <c r="T114" s="23"/>
      <c r="U114" s="603"/>
      <c r="V114" s="23"/>
      <c r="W114" s="603"/>
      <c r="X114" s="23"/>
      <c r="Y114" s="26"/>
      <c r="Z114" s="1"/>
      <c r="AA114" s="1"/>
      <c r="AB114" s="1"/>
      <c r="AC114" s="1"/>
      <c r="AD114" s="1"/>
      <c r="AE114" s="1"/>
      <c r="AF114" s="1"/>
      <c r="AG114" s="1"/>
      <c r="AH114" s="16" t="e">
        <f t="shared" si="0"/>
        <v>#NUM!</v>
      </c>
      <c r="AI114" s="6"/>
      <c r="AJ114" s="6"/>
      <c r="AK114" s="16" t="e">
        <f t="shared" si="1"/>
        <v>#NUM!</v>
      </c>
      <c r="AL114" s="16"/>
      <c r="AM114" s="17" t="e">
        <f t="shared" si="2"/>
        <v>#NUM!</v>
      </c>
      <c r="AN114" s="17"/>
      <c r="AO114" s="18" t="e">
        <f t="shared" si="3"/>
        <v>#NUM!</v>
      </c>
      <c r="AP114" s="18"/>
      <c r="AQ114" s="19" t="e">
        <f t="shared" si="4"/>
        <v>#NUM!</v>
      </c>
      <c r="AR114" s="19"/>
      <c r="AS114" s="11" t="e">
        <f t="shared" si="5"/>
        <v>#NUM!</v>
      </c>
      <c r="AT114" s="11"/>
      <c r="AU114" s="1"/>
      <c r="AV114" s="1"/>
      <c r="AW114" s="1"/>
      <c r="AX114" s="1"/>
      <c r="AY114" s="1"/>
      <c r="AZ114" s="1"/>
    </row>
    <row r="115" spans="1:52" s="12" customFormat="1" ht="14.4" customHeight="1" thickBot="1" x14ac:dyDescent="0.35">
      <c r="A115" s="1"/>
      <c r="B115" s="1"/>
      <c r="C115" s="2"/>
      <c r="D115" s="3"/>
      <c r="E115" s="1"/>
      <c r="F115" s="1"/>
      <c r="G115" s="1"/>
      <c r="H115" s="24" t="s">
        <v>134</v>
      </c>
      <c r="I115" s="25"/>
      <c r="J115" s="25"/>
      <c r="K115" s="604"/>
      <c r="L115" s="4"/>
      <c r="M115" s="590"/>
      <c r="N115" s="608" t="s">
        <v>89</v>
      </c>
      <c r="O115" s="604"/>
      <c r="P115" s="4"/>
      <c r="Q115" s="604"/>
      <c r="R115" s="4"/>
      <c r="S115" s="604"/>
      <c r="T115" s="4"/>
      <c r="U115" s="604"/>
      <c r="V115" s="4"/>
      <c r="W115" s="604"/>
      <c r="X115" s="4"/>
      <c r="Y115" s="26"/>
      <c r="Z115" s="1"/>
      <c r="AA115" s="1"/>
      <c r="AB115" s="1"/>
      <c r="AC115" s="1"/>
      <c r="AD115" s="1"/>
      <c r="AE115" s="1"/>
      <c r="AF115" s="1"/>
      <c r="AG115" s="1"/>
      <c r="AH115" s="16" t="e">
        <f t="shared" si="0"/>
        <v>#NUM!</v>
      </c>
      <c r="AI115" s="6"/>
      <c r="AJ115" s="6"/>
      <c r="AK115" s="16" t="e">
        <f t="shared" si="1"/>
        <v>#NUM!</v>
      </c>
      <c r="AL115" s="16"/>
      <c r="AM115" s="17" t="e">
        <f t="shared" si="2"/>
        <v>#NUM!</v>
      </c>
      <c r="AN115" s="17"/>
      <c r="AO115" s="18" t="e">
        <f t="shared" si="3"/>
        <v>#NUM!</v>
      </c>
      <c r="AP115" s="18"/>
      <c r="AQ115" s="19" t="e">
        <f t="shared" si="4"/>
        <v>#NUM!</v>
      </c>
      <c r="AR115" s="19"/>
      <c r="AS115" s="11" t="e">
        <f t="shared" si="5"/>
        <v>#NUM!</v>
      </c>
      <c r="AT115" s="11"/>
      <c r="AU115" s="1"/>
      <c r="AV115" s="1"/>
      <c r="AW115" s="1"/>
      <c r="AX115" s="1"/>
      <c r="AY115" s="1"/>
      <c r="AZ115" s="1"/>
    </row>
    <row r="116" spans="1:52" s="12" customFormat="1" ht="14.4" customHeight="1" x14ac:dyDescent="0.3">
      <c r="A116" s="1"/>
      <c r="B116" s="1"/>
      <c r="C116" s="2"/>
      <c r="D116" s="3"/>
      <c r="E116" s="1"/>
      <c r="F116" s="1"/>
      <c r="G116" s="1"/>
      <c r="H116" s="1343"/>
      <c r="I116" s="1344"/>
      <c r="J116" s="1344"/>
      <c r="K116" s="602"/>
      <c r="L116" s="15"/>
      <c r="M116" s="592"/>
      <c r="N116" s="609"/>
      <c r="O116" s="602"/>
      <c r="P116" s="15"/>
      <c r="Q116" s="602"/>
      <c r="R116" s="15"/>
      <c r="S116" s="602"/>
      <c r="T116" s="15"/>
      <c r="U116" s="602"/>
      <c r="V116" s="15"/>
      <c r="W116" s="602"/>
      <c r="X116" s="15"/>
      <c r="Y116" s="1"/>
      <c r="Z116" s="1"/>
      <c r="AA116" s="1"/>
      <c r="AB116" s="1"/>
      <c r="AC116" s="1"/>
      <c r="AD116" s="1"/>
      <c r="AE116" s="1"/>
      <c r="AF116" s="1"/>
      <c r="AG116" s="1"/>
      <c r="AH116" s="16" t="e">
        <f t="shared" si="0"/>
        <v>#NUM!</v>
      </c>
      <c r="AI116" s="6"/>
      <c r="AJ116" s="6"/>
      <c r="AK116" s="16" t="e">
        <f t="shared" si="1"/>
        <v>#NUM!</v>
      </c>
      <c r="AL116" s="16"/>
      <c r="AM116" s="17" t="e">
        <f t="shared" si="2"/>
        <v>#NUM!</v>
      </c>
      <c r="AN116" s="17"/>
      <c r="AO116" s="18" t="e">
        <f t="shared" si="3"/>
        <v>#NUM!</v>
      </c>
      <c r="AP116" s="18"/>
      <c r="AQ116" s="19" t="e">
        <f t="shared" si="4"/>
        <v>#NUM!</v>
      </c>
      <c r="AR116" s="19"/>
      <c r="AS116" s="11" t="e">
        <f t="shared" si="5"/>
        <v>#NUM!</v>
      </c>
      <c r="AT116" s="11"/>
      <c r="AU116" s="1"/>
      <c r="AV116" s="1"/>
      <c r="AW116" s="1"/>
      <c r="AX116" s="1"/>
      <c r="AY116" s="1"/>
      <c r="AZ116" s="1"/>
    </row>
    <row r="117" spans="1:52" s="12" customFormat="1" ht="14.4" customHeight="1" x14ac:dyDescent="0.3">
      <c r="A117" s="1"/>
      <c r="B117" s="1"/>
      <c r="C117" s="2"/>
      <c r="D117" s="20"/>
      <c r="E117" s="1"/>
      <c r="F117" s="1"/>
      <c r="G117" s="1"/>
      <c r="H117" s="21" t="s">
        <v>190</v>
      </c>
      <c r="I117" s="22"/>
      <c r="J117" s="22"/>
      <c r="K117" s="603"/>
      <c r="L117" s="23"/>
      <c r="M117" s="589"/>
      <c r="N117" s="607" t="s">
        <v>90</v>
      </c>
      <c r="O117" s="603"/>
      <c r="P117" s="23"/>
      <c r="Q117" s="603"/>
      <c r="R117" s="23"/>
      <c r="S117" s="603"/>
      <c r="T117" s="23"/>
      <c r="U117" s="603"/>
      <c r="V117" s="23"/>
      <c r="W117" s="603"/>
      <c r="X117" s="23"/>
      <c r="Y117" s="1"/>
      <c r="Z117" s="1"/>
      <c r="AA117" s="1"/>
      <c r="AB117" s="1"/>
      <c r="AC117" s="1"/>
      <c r="AD117" s="1"/>
      <c r="AE117" s="1"/>
      <c r="AF117" s="1"/>
      <c r="AG117" s="1"/>
      <c r="AH117" s="16" t="e">
        <f t="shared" si="0"/>
        <v>#NUM!</v>
      </c>
      <c r="AI117" s="6"/>
      <c r="AJ117" s="6"/>
      <c r="AK117" s="16" t="e">
        <f t="shared" si="1"/>
        <v>#NUM!</v>
      </c>
      <c r="AL117" s="16"/>
      <c r="AM117" s="17" t="e">
        <f t="shared" si="2"/>
        <v>#NUM!</v>
      </c>
      <c r="AN117" s="17"/>
      <c r="AO117" s="18" t="e">
        <f t="shared" si="3"/>
        <v>#NUM!</v>
      </c>
      <c r="AP117" s="18"/>
      <c r="AQ117" s="19" t="e">
        <f t="shared" si="4"/>
        <v>#NUM!</v>
      </c>
      <c r="AR117" s="19"/>
      <c r="AS117" s="11" t="e">
        <f t="shared" si="5"/>
        <v>#NUM!</v>
      </c>
      <c r="AT117" s="11"/>
      <c r="AU117" s="1"/>
      <c r="AV117" s="1"/>
      <c r="AW117" s="1"/>
      <c r="AX117" s="1"/>
      <c r="AY117" s="1"/>
      <c r="AZ117" s="1"/>
    </row>
    <row r="118" spans="1:52" s="12" customFormat="1" ht="14.4" customHeight="1" thickBot="1" x14ac:dyDescent="0.35">
      <c r="A118" s="1"/>
      <c r="B118" s="1"/>
      <c r="C118" s="2"/>
      <c r="D118" s="20"/>
      <c r="E118" s="1"/>
      <c r="F118" s="1"/>
      <c r="G118" s="1"/>
      <c r="H118" s="24" t="s">
        <v>24</v>
      </c>
      <c r="I118" s="25"/>
      <c r="J118" s="25"/>
      <c r="K118" s="604"/>
      <c r="L118" s="4"/>
      <c r="M118" s="590"/>
      <c r="N118" s="608" t="s">
        <v>90</v>
      </c>
      <c r="O118" s="604"/>
      <c r="P118" s="4"/>
      <c r="Q118" s="604"/>
      <c r="R118" s="4"/>
      <c r="S118" s="604"/>
      <c r="T118" s="4"/>
      <c r="U118" s="604"/>
      <c r="V118" s="4"/>
      <c r="W118" s="604"/>
      <c r="X118" s="4"/>
      <c r="Y118" s="1"/>
      <c r="Z118" s="1"/>
      <c r="AA118" s="1"/>
      <c r="AB118" s="1"/>
      <c r="AC118" s="1"/>
      <c r="AD118" s="1"/>
      <c r="AE118" s="1"/>
      <c r="AF118" s="1"/>
      <c r="AG118" s="1"/>
      <c r="AH118" s="16" t="e">
        <f t="shared" si="0"/>
        <v>#NUM!</v>
      </c>
      <c r="AI118" s="6"/>
      <c r="AJ118" s="6"/>
      <c r="AK118" s="16" t="e">
        <f t="shared" si="1"/>
        <v>#NUM!</v>
      </c>
      <c r="AL118" s="16"/>
      <c r="AM118" s="17" t="e">
        <f t="shared" si="2"/>
        <v>#NUM!</v>
      </c>
      <c r="AN118" s="17"/>
      <c r="AO118" s="18" t="e">
        <f t="shared" si="3"/>
        <v>#NUM!</v>
      </c>
      <c r="AP118" s="18"/>
      <c r="AQ118" s="19" t="e">
        <f t="shared" si="4"/>
        <v>#NUM!</v>
      </c>
      <c r="AR118" s="19"/>
      <c r="AS118" s="11" t="e">
        <f t="shared" si="5"/>
        <v>#NUM!</v>
      </c>
      <c r="AT118" s="11"/>
      <c r="AU118" s="1"/>
      <c r="AV118" s="1"/>
      <c r="AW118" s="1"/>
      <c r="AX118" s="1"/>
      <c r="AY118" s="1"/>
      <c r="AZ118" s="1"/>
    </row>
    <row r="119" spans="1:52" s="12" customFormat="1" ht="14.4" customHeight="1" x14ac:dyDescent="0.3">
      <c r="A119" s="1"/>
      <c r="B119" s="1"/>
      <c r="C119" s="2"/>
      <c r="D119" s="3"/>
      <c r="E119" s="1"/>
      <c r="F119" s="1"/>
      <c r="G119" s="1"/>
      <c r="H119" s="28" t="s">
        <v>272</v>
      </c>
      <c r="I119" s="29"/>
      <c r="J119" s="29"/>
      <c r="K119" s="602"/>
      <c r="L119" s="15"/>
      <c r="M119" s="593"/>
      <c r="N119" s="609" t="s">
        <v>89</v>
      </c>
      <c r="O119" s="602"/>
      <c r="P119" s="15"/>
      <c r="Q119" s="602"/>
      <c r="R119" s="15"/>
      <c r="S119" s="602"/>
      <c r="T119" s="15"/>
      <c r="U119" s="602"/>
      <c r="V119" s="15"/>
      <c r="W119" s="602"/>
      <c r="X119" s="15"/>
      <c r="Y119" s="1"/>
      <c r="Z119" s="1"/>
      <c r="AA119" s="1"/>
      <c r="AB119" s="1"/>
      <c r="AC119" s="1"/>
      <c r="AD119" s="1"/>
      <c r="AE119" s="1"/>
      <c r="AF119" s="1"/>
      <c r="AG119" s="1"/>
      <c r="AH119" s="16" t="e">
        <f>PMT($I$42,L119,K119,0,0)</f>
        <v>#NUM!</v>
      </c>
      <c r="AI119" s="6"/>
      <c r="AJ119" s="6"/>
      <c r="AK119" s="16" t="e">
        <f>PMT($I$42,P119,O119,0,0)</f>
        <v>#NUM!</v>
      </c>
      <c r="AL119" s="16"/>
      <c r="AM119" s="17" t="e">
        <f>PMT($I$42,R119,Q119,0,0)</f>
        <v>#NUM!</v>
      </c>
      <c r="AN119" s="17"/>
      <c r="AO119" s="18" t="e">
        <f>PMT($I$42,T119,S119,0,0)</f>
        <v>#NUM!</v>
      </c>
      <c r="AP119" s="18"/>
      <c r="AQ119" s="19" t="e">
        <f>PMT($I$42,V119,U119,0,0)</f>
        <v>#NUM!</v>
      </c>
      <c r="AR119" s="19"/>
      <c r="AS119" s="11" t="e">
        <f>PMT($I$42,X119,W119,0,0)</f>
        <v>#NUM!</v>
      </c>
      <c r="AT119" s="11"/>
      <c r="AU119" s="1"/>
      <c r="AV119" s="1"/>
      <c r="AW119" s="1"/>
      <c r="AX119" s="1"/>
      <c r="AY119" s="1"/>
      <c r="AZ119" s="1"/>
    </row>
    <row r="120" spans="1:52" s="12" customFormat="1" ht="14.4" customHeight="1" x14ac:dyDescent="0.3">
      <c r="A120" s="1"/>
      <c r="B120" s="1"/>
      <c r="C120" s="30"/>
      <c r="D120" s="27"/>
      <c r="E120" s="27"/>
      <c r="F120" s="1"/>
      <c r="G120" s="1"/>
      <c r="H120" s="31" t="s">
        <v>273</v>
      </c>
      <c r="I120" s="32"/>
      <c r="J120" s="32"/>
      <c r="K120" s="603"/>
      <c r="L120" s="23"/>
      <c r="M120" s="594"/>
      <c r="N120" s="607" t="s">
        <v>89</v>
      </c>
      <c r="O120" s="603"/>
      <c r="P120" s="23"/>
      <c r="Q120" s="603"/>
      <c r="R120" s="23"/>
      <c r="S120" s="603"/>
      <c r="T120" s="23"/>
      <c r="U120" s="603"/>
      <c r="V120" s="23"/>
      <c r="W120" s="603"/>
      <c r="X120" s="23"/>
      <c r="Y120" s="1"/>
      <c r="Z120" s="1"/>
      <c r="AA120" s="1"/>
      <c r="AB120" s="1"/>
      <c r="AC120" s="1"/>
      <c r="AD120" s="1"/>
      <c r="AE120" s="1"/>
      <c r="AF120" s="1"/>
      <c r="AG120" s="1"/>
      <c r="AH120" s="16" t="e">
        <f>PMT($I$42,L120,K120,0,0)</f>
        <v>#NUM!</v>
      </c>
      <c r="AI120" s="6"/>
      <c r="AJ120" s="6"/>
      <c r="AK120" s="16" t="e">
        <f>PMT($I$42,P120,O120,0,0)</f>
        <v>#NUM!</v>
      </c>
      <c r="AL120" s="16"/>
      <c r="AM120" s="17" t="e">
        <f>PMT($I$42,R120,Q120,0,0)</f>
        <v>#NUM!</v>
      </c>
      <c r="AN120" s="17"/>
      <c r="AO120" s="18" t="e">
        <f>PMT($I$42,T120,S120,0,0)</f>
        <v>#NUM!</v>
      </c>
      <c r="AP120" s="18"/>
      <c r="AQ120" s="19" t="e">
        <f>PMT($I$42,V120,U120,0,0)</f>
        <v>#NUM!</v>
      </c>
      <c r="AR120" s="19"/>
      <c r="AS120" s="11" t="e">
        <f>PMT($I$42,X120,W120,0,0)</f>
        <v>#NUM!</v>
      </c>
      <c r="AT120" s="11"/>
      <c r="AU120" s="1"/>
      <c r="AV120" s="1"/>
      <c r="AW120" s="1"/>
      <c r="AX120" s="1"/>
      <c r="AY120" s="1"/>
      <c r="AZ120" s="1"/>
    </row>
    <row r="121" spans="1:52" s="12" customFormat="1" ht="14.4" customHeight="1" thickBot="1" x14ac:dyDescent="0.35">
      <c r="A121" s="1"/>
      <c r="B121" s="1"/>
      <c r="C121" s="2"/>
      <c r="D121" s="3"/>
      <c r="E121" s="1"/>
      <c r="F121" s="1"/>
      <c r="G121" s="1"/>
      <c r="H121" s="31" t="s">
        <v>271</v>
      </c>
      <c r="I121" s="32"/>
      <c r="J121" s="32"/>
      <c r="K121" s="605"/>
      <c r="L121" s="33"/>
      <c r="M121" s="595"/>
      <c r="N121" s="610" t="s">
        <v>89</v>
      </c>
      <c r="O121" s="605"/>
      <c r="P121" s="33"/>
      <c r="Q121" s="605"/>
      <c r="R121" s="33"/>
      <c r="S121" s="605"/>
      <c r="T121" s="33"/>
      <c r="U121" s="605"/>
      <c r="V121" s="33"/>
      <c r="W121" s="605"/>
      <c r="X121" s="33"/>
      <c r="Y121" s="1"/>
      <c r="Z121" s="1"/>
      <c r="AA121" s="1"/>
      <c r="AB121" s="1"/>
      <c r="AC121" s="1"/>
      <c r="AD121" s="1"/>
      <c r="AE121" s="1"/>
      <c r="AF121" s="1"/>
      <c r="AG121" s="1"/>
      <c r="AH121" s="16" t="e">
        <f>PMT($I$42,L121,K121,0,0)</f>
        <v>#NUM!</v>
      </c>
      <c r="AI121" s="6"/>
      <c r="AJ121" s="6"/>
      <c r="AK121" s="16" t="e">
        <f>PMT($I$42,P121,O121,0,0)</f>
        <v>#NUM!</v>
      </c>
      <c r="AL121" s="16"/>
      <c r="AM121" s="17" t="e">
        <f>PMT($I$42,R121,Q121,0,0)</f>
        <v>#NUM!</v>
      </c>
      <c r="AN121" s="17"/>
      <c r="AO121" s="18" t="e">
        <f>PMT($I$42,T121,S121,0,0)</f>
        <v>#NUM!</v>
      </c>
      <c r="AP121" s="18"/>
      <c r="AQ121" s="19" t="e">
        <f>PMT($I$42,V121,U121,0,0)</f>
        <v>#NUM!</v>
      </c>
      <c r="AR121" s="19"/>
      <c r="AS121" s="11" t="e">
        <f>PMT($I$42,X121,W121,0,0)</f>
        <v>#NUM!</v>
      </c>
      <c r="AT121" s="11"/>
      <c r="AU121" s="1"/>
      <c r="AV121" s="1"/>
      <c r="AW121" s="1"/>
      <c r="AX121" s="1"/>
      <c r="AY121" s="1"/>
      <c r="AZ121" s="1"/>
    </row>
    <row r="122" spans="1:52" s="12" customFormat="1" ht="14.4" customHeight="1" x14ac:dyDescent="0.3">
      <c r="A122" s="1"/>
      <c r="B122" s="1"/>
      <c r="C122" s="2"/>
      <c r="D122" s="3"/>
      <c r="E122" s="1"/>
      <c r="F122" s="1"/>
      <c r="G122" s="1"/>
      <c r="H122" s="1333"/>
      <c r="I122" s="1334"/>
      <c r="J122" s="1335"/>
      <c r="K122" s="602"/>
      <c r="L122" s="15"/>
      <c r="M122" s="596"/>
      <c r="N122" s="609"/>
      <c r="O122" s="602"/>
      <c r="P122" s="15"/>
      <c r="Q122" s="602"/>
      <c r="R122" s="15"/>
      <c r="S122" s="602"/>
      <c r="T122" s="15"/>
      <c r="U122" s="602"/>
      <c r="V122" s="15"/>
      <c r="W122" s="602"/>
      <c r="X122" s="15"/>
      <c r="Y122" s="1"/>
      <c r="Z122" s="1"/>
      <c r="AA122" s="1"/>
      <c r="AB122" s="1"/>
      <c r="AC122" s="1"/>
      <c r="AD122" s="1"/>
      <c r="AE122" s="1"/>
      <c r="AF122" s="1"/>
      <c r="AG122" s="1"/>
      <c r="AH122" s="16" t="e">
        <f t="shared" si="0"/>
        <v>#NUM!</v>
      </c>
      <c r="AI122" s="6"/>
      <c r="AJ122" s="6"/>
      <c r="AK122" s="16" t="e">
        <f t="shared" si="1"/>
        <v>#NUM!</v>
      </c>
      <c r="AL122" s="16"/>
      <c r="AM122" s="17" t="e">
        <f t="shared" si="2"/>
        <v>#NUM!</v>
      </c>
      <c r="AN122" s="17"/>
      <c r="AO122" s="18" t="e">
        <f t="shared" si="3"/>
        <v>#NUM!</v>
      </c>
      <c r="AP122" s="18"/>
      <c r="AQ122" s="19" t="e">
        <f t="shared" si="4"/>
        <v>#NUM!</v>
      </c>
      <c r="AR122" s="19"/>
      <c r="AS122" s="11" t="e">
        <f t="shared" si="5"/>
        <v>#NUM!</v>
      </c>
      <c r="AT122" s="11"/>
      <c r="AU122" s="1"/>
      <c r="AV122" s="1"/>
      <c r="AW122" s="1"/>
      <c r="AX122" s="1"/>
      <c r="AY122" s="1"/>
      <c r="AZ122" s="1"/>
    </row>
    <row r="123" spans="1:52" s="12" customFormat="1" ht="14.4" customHeight="1" x14ac:dyDescent="0.3">
      <c r="A123" s="1"/>
      <c r="B123" s="1"/>
      <c r="C123" s="2"/>
      <c r="D123" s="3"/>
      <c r="E123" s="1"/>
      <c r="F123" s="1"/>
      <c r="G123" s="1"/>
      <c r="H123" s="1336"/>
      <c r="I123" s="1337"/>
      <c r="J123" s="1338"/>
      <c r="K123" s="603"/>
      <c r="L123" s="23"/>
      <c r="M123" s="594"/>
      <c r="N123" s="610" t="s">
        <v>89</v>
      </c>
      <c r="O123" s="603"/>
      <c r="P123" s="23"/>
      <c r="Q123" s="603"/>
      <c r="R123" s="23"/>
      <c r="S123" s="603"/>
      <c r="T123" s="23"/>
      <c r="U123" s="603"/>
      <c r="V123" s="23"/>
      <c r="W123" s="603"/>
      <c r="X123" s="23"/>
      <c r="Y123" s="1"/>
      <c r="Z123" s="1"/>
      <c r="AA123" s="1"/>
      <c r="AB123" s="1"/>
      <c r="AC123" s="1"/>
      <c r="AD123" s="1"/>
      <c r="AE123" s="1"/>
      <c r="AF123" s="1"/>
      <c r="AG123" s="1"/>
      <c r="AH123" s="16" t="e">
        <f t="shared" si="0"/>
        <v>#NUM!</v>
      </c>
      <c r="AI123" s="6"/>
      <c r="AJ123" s="6"/>
      <c r="AK123" s="16" t="e">
        <f t="shared" si="1"/>
        <v>#NUM!</v>
      </c>
      <c r="AL123" s="16"/>
      <c r="AM123" s="17" t="e">
        <f t="shared" si="2"/>
        <v>#NUM!</v>
      </c>
      <c r="AN123" s="17"/>
      <c r="AO123" s="18" t="e">
        <f t="shared" si="3"/>
        <v>#NUM!</v>
      </c>
      <c r="AP123" s="18"/>
      <c r="AQ123" s="19" t="e">
        <f t="shared" si="4"/>
        <v>#NUM!</v>
      </c>
      <c r="AR123" s="19"/>
      <c r="AS123" s="11" t="e">
        <f t="shared" si="5"/>
        <v>#NUM!</v>
      </c>
      <c r="AT123" s="11"/>
      <c r="AU123" s="1"/>
      <c r="AV123" s="1"/>
      <c r="AW123" s="1"/>
      <c r="AX123" s="1"/>
      <c r="AY123" s="1"/>
      <c r="AZ123" s="1"/>
    </row>
    <row r="124" spans="1:52" s="12" customFormat="1" ht="14.4" customHeight="1" thickBot="1" x14ac:dyDescent="0.35">
      <c r="A124" s="1"/>
      <c r="B124" s="1"/>
      <c r="C124" s="2"/>
      <c r="D124" s="3"/>
      <c r="E124" s="1"/>
      <c r="F124" s="1"/>
      <c r="G124" s="1"/>
      <c r="H124" s="1339"/>
      <c r="I124" s="1340"/>
      <c r="J124" s="1341"/>
      <c r="K124" s="604"/>
      <c r="L124" s="4"/>
      <c r="M124" s="597"/>
      <c r="N124" s="608" t="s">
        <v>89</v>
      </c>
      <c r="O124" s="604"/>
      <c r="P124" s="4"/>
      <c r="Q124" s="604"/>
      <c r="R124" s="4"/>
      <c r="S124" s="604"/>
      <c r="T124" s="4"/>
      <c r="U124" s="604"/>
      <c r="V124" s="4"/>
      <c r="W124" s="604"/>
      <c r="X124" s="4"/>
      <c r="Y124" s="1"/>
      <c r="Z124" s="1"/>
      <c r="AA124" s="1"/>
      <c r="AB124" s="1"/>
      <c r="AC124" s="1"/>
      <c r="AD124" s="1"/>
      <c r="AE124" s="1"/>
      <c r="AF124" s="1"/>
      <c r="AG124" s="1"/>
      <c r="AH124" s="16" t="e">
        <f t="shared" si="0"/>
        <v>#NUM!</v>
      </c>
      <c r="AI124" s="6"/>
      <c r="AJ124" s="6"/>
      <c r="AK124" s="16" t="e">
        <f t="shared" si="1"/>
        <v>#NUM!</v>
      </c>
      <c r="AL124" s="16"/>
      <c r="AM124" s="17" t="e">
        <f t="shared" si="2"/>
        <v>#NUM!</v>
      </c>
      <c r="AN124" s="17"/>
      <c r="AO124" s="18" t="e">
        <f t="shared" si="3"/>
        <v>#NUM!</v>
      </c>
      <c r="AP124" s="18"/>
      <c r="AQ124" s="19" t="e">
        <f t="shared" si="4"/>
        <v>#NUM!</v>
      </c>
      <c r="AR124" s="19"/>
      <c r="AS124" s="11" t="e">
        <f t="shared" si="5"/>
        <v>#NUM!</v>
      </c>
      <c r="AT124" s="11"/>
      <c r="AU124" s="1"/>
      <c r="AV124" s="1"/>
      <c r="AW124" s="1"/>
      <c r="AX124" s="1"/>
      <c r="AY124" s="1"/>
      <c r="AZ124" s="1"/>
    </row>
    <row r="125" spans="1:52" s="12" customFormat="1" ht="14.4" customHeight="1" x14ac:dyDescent="0.3">
      <c r="A125" s="1"/>
      <c r="B125" s="1"/>
      <c r="C125" s="2"/>
      <c r="D125" s="20"/>
      <c r="E125" s="1"/>
      <c r="F125" s="1"/>
      <c r="G125" s="1"/>
      <c r="H125" s="31" t="s">
        <v>25</v>
      </c>
      <c r="I125" s="32"/>
      <c r="J125" s="32"/>
      <c r="K125" s="602"/>
      <c r="L125" s="15"/>
      <c r="M125" s="591"/>
      <c r="N125" s="609" t="s">
        <v>90</v>
      </c>
      <c r="O125" s="602"/>
      <c r="P125" s="15"/>
      <c r="Q125" s="602"/>
      <c r="R125" s="15"/>
      <c r="S125" s="602"/>
      <c r="T125" s="15"/>
      <c r="U125" s="602"/>
      <c r="V125" s="15"/>
      <c r="W125" s="602"/>
      <c r="X125" s="15"/>
      <c r="Y125" s="1"/>
      <c r="Z125" s="1"/>
      <c r="AA125" s="1"/>
      <c r="AB125" s="1"/>
      <c r="AC125" s="1"/>
      <c r="AD125" s="1"/>
      <c r="AE125" s="1"/>
      <c r="AF125" s="1"/>
      <c r="AG125" s="1"/>
      <c r="AH125" s="16" t="e">
        <f t="shared" si="0"/>
        <v>#NUM!</v>
      </c>
      <c r="AI125" s="6"/>
      <c r="AJ125" s="6"/>
      <c r="AK125" s="16" t="e">
        <f t="shared" si="1"/>
        <v>#NUM!</v>
      </c>
      <c r="AL125" s="16"/>
      <c r="AM125" s="17" t="e">
        <f t="shared" si="2"/>
        <v>#NUM!</v>
      </c>
      <c r="AN125" s="17"/>
      <c r="AO125" s="18" t="e">
        <f t="shared" si="3"/>
        <v>#NUM!</v>
      </c>
      <c r="AP125" s="18"/>
      <c r="AQ125" s="19" t="e">
        <f t="shared" si="4"/>
        <v>#NUM!</v>
      </c>
      <c r="AR125" s="19"/>
      <c r="AS125" s="11" t="e">
        <f t="shared" si="5"/>
        <v>#NUM!</v>
      </c>
      <c r="AT125" s="11"/>
      <c r="AU125" s="1"/>
      <c r="AV125" s="1"/>
      <c r="AW125" s="1"/>
      <c r="AX125" s="1"/>
      <c r="AY125" s="1"/>
      <c r="AZ125" s="1"/>
    </row>
    <row r="126" spans="1:52" s="12" customFormat="1" ht="14.4" customHeight="1" x14ac:dyDescent="0.3">
      <c r="A126" s="1"/>
      <c r="B126" s="1"/>
      <c r="C126" s="2"/>
      <c r="D126" s="20"/>
      <c r="E126" s="1"/>
      <c r="F126" s="1"/>
      <c r="G126" s="1"/>
      <c r="H126" s="31" t="s">
        <v>274</v>
      </c>
      <c r="I126" s="32"/>
      <c r="J126" s="32"/>
      <c r="K126" s="603"/>
      <c r="L126" s="23"/>
      <c r="M126" s="594"/>
      <c r="N126" s="607" t="s">
        <v>89</v>
      </c>
      <c r="O126" s="603"/>
      <c r="P126" s="23"/>
      <c r="Q126" s="603"/>
      <c r="R126" s="23"/>
      <c r="S126" s="603"/>
      <c r="T126" s="23"/>
      <c r="U126" s="603"/>
      <c r="V126" s="23"/>
      <c r="W126" s="603"/>
      <c r="X126" s="23"/>
      <c r="Y126" s="1"/>
      <c r="Z126" s="1"/>
      <c r="AA126" s="1"/>
      <c r="AB126" s="1"/>
      <c r="AC126" s="1"/>
      <c r="AD126" s="1"/>
      <c r="AE126" s="1"/>
      <c r="AF126" s="1"/>
      <c r="AG126" s="1"/>
      <c r="AH126" s="16" t="e">
        <f t="shared" si="0"/>
        <v>#NUM!</v>
      </c>
      <c r="AI126" s="6"/>
      <c r="AJ126" s="6"/>
      <c r="AK126" s="16" t="e">
        <f t="shared" si="1"/>
        <v>#NUM!</v>
      </c>
      <c r="AL126" s="16"/>
      <c r="AM126" s="17" t="e">
        <f t="shared" si="2"/>
        <v>#NUM!</v>
      </c>
      <c r="AN126" s="17"/>
      <c r="AO126" s="18" t="e">
        <f t="shared" si="3"/>
        <v>#NUM!</v>
      </c>
      <c r="AP126" s="18"/>
      <c r="AQ126" s="19" t="e">
        <f t="shared" si="4"/>
        <v>#NUM!</v>
      </c>
      <c r="AR126" s="19"/>
      <c r="AS126" s="11" t="e">
        <f t="shared" si="5"/>
        <v>#NUM!</v>
      </c>
      <c r="AT126" s="11"/>
      <c r="AU126" s="1"/>
      <c r="AV126" s="1"/>
      <c r="AW126" s="1"/>
      <c r="AX126" s="1"/>
      <c r="AY126" s="1"/>
      <c r="AZ126" s="1"/>
    </row>
    <row r="127" spans="1:52" s="12" customFormat="1" ht="14.4" customHeight="1" thickBot="1" x14ac:dyDescent="0.35">
      <c r="A127" s="1"/>
      <c r="B127" s="1"/>
      <c r="C127" s="2"/>
      <c r="D127" s="20"/>
      <c r="E127" s="1"/>
      <c r="F127" s="1"/>
      <c r="G127" s="1"/>
      <c r="H127" s="34" t="s">
        <v>275</v>
      </c>
      <c r="I127" s="35"/>
      <c r="J127" s="35"/>
      <c r="K127" s="604"/>
      <c r="L127" s="4"/>
      <c r="M127" s="598"/>
      <c r="N127" s="608" t="s">
        <v>89</v>
      </c>
      <c r="O127" s="604"/>
      <c r="P127" s="4"/>
      <c r="Q127" s="604"/>
      <c r="R127" s="4"/>
      <c r="S127" s="604"/>
      <c r="T127" s="4"/>
      <c r="U127" s="604"/>
      <c r="V127" s="4"/>
      <c r="W127" s="604"/>
      <c r="X127" s="4"/>
      <c r="Y127" s="1"/>
      <c r="Z127" s="1"/>
      <c r="AA127" s="1"/>
      <c r="AB127" s="1"/>
      <c r="AC127" s="1"/>
      <c r="AD127" s="1"/>
      <c r="AE127" s="1"/>
      <c r="AF127" s="1"/>
      <c r="AG127" s="1"/>
      <c r="AH127" s="16" t="e">
        <f t="shared" si="0"/>
        <v>#NUM!</v>
      </c>
      <c r="AI127" s="6"/>
      <c r="AJ127" s="6"/>
      <c r="AK127" s="16" t="e">
        <f t="shared" si="1"/>
        <v>#NUM!</v>
      </c>
      <c r="AL127" s="16"/>
      <c r="AM127" s="17" t="e">
        <f t="shared" si="2"/>
        <v>#NUM!</v>
      </c>
      <c r="AN127" s="17"/>
      <c r="AO127" s="18" t="e">
        <f t="shared" si="3"/>
        <v>#NUM!</v>
      </c>
      <c r="AP127" s="18"/>
      <c r="AQ127" s="19" t="e">
        <f t="shared" si="4"/>
        <v>#NUM!</v>
      </c>
      <c r="AR127" s="19"/>
      <c r="AS127" s="11" t="e">
        <f t="shared" si="5"/>
        <v>#NUM!</v>
      </c>
      <c r="AT127" s="11"/>
      <c r="AU127" s="1"/>
      <c r="AV127" s="1"/>
      <c r="AW127" s="1"/>
      <c r="AX127" s="1"/>
      <c r="AY127" s="1"/>
      <c r="AZ127" s="1"/>
    </row>
    <row r="128" spans="1:52" s="12" customFormat="1" ht="14.4" customHeight="1" thickBot="1" x14ac:dyDescent="0.35">
      <c r="A128" s="1"/>
      <c r="B128" s="1"/>
      <c r="C128" s="2"/>
      <c r="D128" s="20"/>
      <c r="E128" s="1"/>
      <c r="F128" s="1"/>
      <c r="G128" s="1"/>
      <c r="H128" s="28" t="s">
        <v>276</v>
      </c>
      <c r="I128" s="29"/>
      <c r="J128" s="29"/>
      <c r="K128" s="602"/>
      <c r="L128" s="15"/>
      <c r="M128" s="593"/>
      <c r="N128" s="609" t="s">
        <v>89</v>
      </c>
      <c r="O128" s="602"/>
      <c r="P128" s="15"/>
      <c r="Q128" s="602"/>
      <c r="R128" s="15"/>
      <c r="S128" s="602"/>
      <c r="T128" s="15"/>
      <c r="U128" s="602"/>
      <c r="V128" s="15"/>
      <c r="W128" s="602"/>
      <c r="X128" s="15"/>
      <c r="Y128" s="1"/>
      <c r="Z128" s="1"/>
      <c r="AA128" s="1"/>
      <c r="AB128" s="1"/>
      <c r="AC128" s="1"/>
      <c r="AD128" s="1"/>
      <c r="AE128" s="1"/>
      <c r="AF128" s="1"/>
      <c r="AG128" s="1"/>
      <c r="AH128" s="16" t="e">
        <f t="shared" si="0"/>
        <v>#NUM!</v>
      </c>
      <c r="AI128" s="6"/>
      <c r="AJ128" s="6"/>
      <c r="AK128" s="16" t="e">
        <f t="shared" si="1"/>
        <v>#NUM!</v>
      </c>
      <c r="AL128" s="16"/>
      <c r="AM128" s="17" t="e">
        <f t="shared" si="2"/>
        <v>#NUM!</v>
      </c>
      <c r="AN128" s="17"/>
      <c r="AO128" s="18" t="e">
        <f t="shared" si="3"/>
        <v>#NUM!</v>
      </c>
      <c r="AP128" s="18"/>
      <c r="AQ128" s="19" t="e">
        <f t="shared" si="4"/>
        <v>#NUM!</v>
      </c>
      <c r="AR128" s="19"/>
      <c r="AS128" s="11" t="e">
        <f t="shared" si="5"/>
        <v>#NUM!</v>
      </c>
      <c r="AT128" s="11"/>
      <c r="AU128" s="1"/>
      <c r="AV128" s="1"/>
      <c r="AW128" s="1"/>
      <c r="AX128" s="1"/>
      <c r="AY128" s="1"/>
      <c r="AZ128" s="1"/>
    </row>
    <row r="129" spans="1:52" s="12" customFormat="1" ht="14.4" customHeight="1" thickBot="1" x14ac:dyDescent="0.35">
      <c r="A129" s="1"/>
      <c r="B129" s="1"/>
      <c r="C129" s="2"/>
      <c r="D129" s="3"/>
      <c r="E129" s="1"/>
      <c r="F129" s="1"/>
      <c r="G129" s="1"/>
      <c r="H129" s="1300" t="s">
        <v>295</v>
      </c>
      <c r="I129" s="1301"/>
      <c r="J129" s="1301"/>
      <c r="K129" s="359"/>
      <c r="L129" s="1261"/>
      <c r="M129" s="901"/>
      <c r="N129" s="609" t="s">
        <v>89</v>
      </c>
      <c r="O129" s="603"/>
      <c r="P129" s="23"/>
      <c r="Q129" s="603"/>
      <c r="R129" s="23"/>
      <c r="S129" s="603"/>
      <c r="T129" s="23"/>
      <c r="U129" s="603"/>
      <c r="V129" s="23"/>
      <c r="W129" s="603"/>
      <c r="X129" s="23"/>
      <c r="Y129" s="1"/>
      <c r="Z129" s="1"/>
      <c r="AA129" s="1"/>
      <c r="AB129" s="1"/>
      <c r="AC129" s="1"/>
      <c r="AD129" s="1"/>
      <c r="AE129" s="1"/>
      <c r="AF129" s="1"/>
      <c r="AG129" s="1"/>
      <c r="AH129" s="16" t="e">
        <f t="shared" si="0"/>
        <v>#NUM!</v>
      </c>
      <c r="AI129" s="6"/>
      <c r="AJ129" s="6"/>
      <c r="AK129" s="16" t="e">
        <f t="shared" si="1"/>
        <v>#NUM!</v>
      </c>
      <c r="AL129" s="16"/>
      <c r="AM129" s="17" t="e">
        <f t="shared" si="2"/>
        <v>#NUM!</v>
      </c>
      <c r="AN129" s="17"/>
      <c r="AO129" s="18" t="e">
        <f t="shared" si="3"/>
        <v>#NUM!</v>
      </c>
      <c r="AP129" s="18"/>
      <c r="AQ129" s="19" t="e">
        <f t="shared" si="4"/>
        <v>#NUM!</v>
      </c>
      <c r="AR129" s="19"/>
      <c r="AS129" s="11" t="e">
        <f t="shared" si="5"/>
        <v>#NUM!</v>
      </c>
      <c r="AT129" s="11"/>
      <c r="AU129" s="1"/>
      <c r="AV129" s="1"/>
      <c r="AW129" s="1"/>
      <c r="AX129" s="1"/>
      <c r="AY129" s="1"/>
      <c r="AZ129" s="1"/>
    </row>
    <row r="130" spans="1:52" s="12" customFormat="1" ht="14.4" customHeight="1" thickBot="1" x14ac:dyDescent="0.35">
      <c r="A130" s="1"/>
      <c r="B130" s="1"/>
      <c r="C130" s="2"/>
      <c r="D130" s="3"/>
      <c r="E130" s="1"/>
      <c r="F130" s="1"/>
      <c r="G130" s="1"/>
      <c r="H130" s="1343"/>
      <c r="I130" s="1344"/>
      <c r="J130" s="1344"/>
      <c r="K130" s="604"/>
      <c r="L130" s="4"/>
      <c r="M130" s="600"/>
      <c r="N130" s="608"/>
      <c r="O130" s="604"/>
      <c r="P130" s="4"/>
      <c r="Q130" s="604"/>
      <c r="R130" s="4"/>
      <c r="S130" s="604"/>
      <c r="T130" s="4"/>
      <c r="U130" s="604"/>
      <c r="V130" s="4"/>
      <c r="W130" s="604"/>
      <c r="X130" s="4"/>
      <c r="Y130" s="1"/>
      <c r="Z130" s="1"/>
      <c r="AA130" s="1"/>
      <c r="AB130" s="1"/>
      <c r="AC130" s="1"/>
      <c r="AD130" s="1"/>
      <c r="AE130" s="1"/>
      <c r="AF130" s="1"/>
      <c r="AG130" s="1"/>
      <c r="AH130" s="16" t="e">
        <f t="shared" si="0"/>
        <v>#NUM!</v>
      </c>
      <c r="AI130" s="6"/>
      <c r="AJ130" s="6"/>
      <c r="AK130" s="16" t="e">
        <f t="shared" si="1"/>
        <v>#NUM!</v>
      </c>
      <c r="AL130" s="16"/>
      <c r="AM130" s="17" t="e">
        <f t="shared" si="2"/>
        <v>#NUM!</v>
      </c>
      <c r="AN130" s="17"/>
      <c r="AO130" s="18" t="e">
        <f t="shared" si="3"/>
        <v>#NUM!</v>
      </c>
      <c r="AP130" s="18"/>
      <c r="AQ130" s="19" t="e">
        <f t="shared" si="4"/>
        <v>#NUM!</v>
      </c>
      <c r="AR130" s="19"/>
      <c r="AS130" s="11" t="e">
        <f t="shared" si="5"/>
        <v>#NUM!</v>
      </c>
      <c r="AT130" s="11"/>
      <c r="AU130" s="1"/>
      <c r="AV130" s="1"/>
      <c r="AW130" s="1"/>
      <c r="AX130" s="1"/>
      <c r="AY130" s="1"/>
      <c r="AZ130" s="1"/>
    </row>
    <row r="131" spans="1:52" s="12" customFormat="1" ht="14.4" customHeight="1" thickBot="1" x14ac:dyDescent="0.35">
      <c r="A131" s="1"/>
      <c r="B131" s="1"/>
      <c r="C131" s="2"/>
      <c r="D131" s="3"/>
      <c r="E131" s="1"/>
      <c r="F131" s="1"/>
      <c r="G131" s="1"/>
      <c r="H131" s="14" t="s">
        <v>14</v>
      </c>
      <c r="I131" s="13"/>
      <c r="J131" s="13"/>
      <c r="K131" s="602"/>
      <c r="L131" s="15"/>
      <c r="M131" s="593"/>
      <c r="N131" s="609" t="s">
        <v>90</v>
      </c>
      <c r="O131" s="602"/>
      <c r="P131" s="15"/>
      <c r="Q131" s="602"/>
      <c r="R131" s="15"/>
      <c r="S131" s="602"/>
      <c r="T131" s="15"/>
      <c r="U131" s="602"/>
      <c r="V131" s="15"/>
      <c r="W131" s="602"/>
      <c r="X131" s="15"/>
      <c r="Y131" s="1"/>
      <c r="Z131" s="1"/>
      <c r="AA131" s="1"/>
      <c r="AB131" s="1"/>
      <c r="AC131" s="1"/>
      <c r="AD131" s="1"/>
      <c r="AE131" s="1"/>
      <c r="AF131" s="1"/>
      <c r="AG131" s="1"/>
      <c r="AH131" s="16" t="e">
        <f t="shared" si="0"/>
        <v>#NUM!</v>
      </c>
      <c r="AI131" s="6"/>
      <c r="AJ131" s="6"/>
      <c r="AK131" s="16" t="e">
        <f t="shared" si="1"/>
        <v>#NUM!</v>
      </c>
      <c r="AL131" s="16"/>
      <c r="AM131" s="17" t="e">
        <f t="shared" si="2"/>
        <v>#NUM!</v>
      </c>
      <c r="AN131" s="17"/>
      <c r="AO131" s="18" t="e">
        <f t="shared" si="3"/>
        <v>#NUM!</v>
      </c>
      <c r="AP131" s="18"/>
      <c r="AQ131" s="19" t="e">
        <f t="shared" si="4"/>
        <v>#NUM!</v>
      </c>
      <c r="AR131" s="19"/>
      <c r="AS131" s="11" t="e">
        <f t="shared" si="5"/>
        <v>#NUM!</v>
      </c>
      <c r="AT131" s="11"/>
      <c r="AU131" s="1"/>
      <c r="AV131" s="1"/>
      <c r="AW131" s="1"/>
      <c r="AX131" s="1"/>
      <c r="AY131" s="1"/>
      <c r="AZ131" s="1"/>
    </row>
    <row r="132" spans="1:52" s="12" customFormat="1" ht="14.4" customHeight="1" thickBot="1" x14ac:dyDescent="0.35">
      <c r="A132" s="1"/>
      <c r="B132" s="1"/>
      <c r="C132" s="2"/>
      <c r="D132" s="3"/>
      <c r="E132" s="1"/>
      <c r="F132" s="1"/>
      <c r="G132" s="1"/>
      <c r="H132" s="1343"/>
      <c r="I132" s="1344"/>
      <c r="J132" s="1344"/>
      <c r="K132" s="604"/>
      <c r="L132" s="4"/>
      <c r="M132" s="601"/>
      <c r="N132" s="606" t="s">
        <v>89</v>
      </c>
      <c r="O132" s="604"/>
      <c r="P132" s="4"/>
      <c r="Q132" s="604"/>
      <c r="R132" s="4"/>
      <c r="S132" s="604"/>
      <c r="T132" s="4"/>
      <c r="U132" s="604"/>
      <c r="V132" s="4"/>
      <c r="W132" s="604"/>
      <c r="X132" s="4"/>
      <c r="Y132" s="1"/>
      <c r="Z132" s="1"/>
      <c r="AA132" s="1"/>
      <c r="AB132" s="1"/>
      <c r="AC132" s="1"/>
      <c r="AD132" s="1"/>
      <c r="AE132" s="1"/>
      <c r="AF132" s="1"/>
      <c r="AG132" s="1"/>
      <c r="AH132" s="5" t="e">
        <f t="shared" si="0"/>
        <v>#NUM!</v>
      </c>
      <c r="AI132" s="6"/>
      <c r="AJ132" s="6"/>
      <c r="AK132" s="5" t="e">
        <f t="shared" si="1"/>
        <v>#NUM!</v>
      </c>
      <c r="AL132" s="5"/>
      <c r="AM132" s="7" t="e">
        <f t="shared" si="2"/>
        <v>#NUM!</v>
      </c>
      <c r="AN132" s="7"/>
      <c r="AO132" s="8" t="e">
        <f t="shared" si="3"/>
        <v>#NUM!</v>
      </c>
      <c r="AP132" s="8"/>
      <c r="AQ132" s="9" t="e">
        <f t="shared" si="4"/>
        <v>#NUM!</v>
      </c>
      <c r="AR132" s="9"/>
      <c r="AS132" s="10" t="e">
        <f t="shared" si="5"/>
        <v>#NUM!</v>
      </c>
      <c r="AT132" s="11"/>
      <c r="AU132" s="1"/>
      <c r="AV132" s="1"/>
      <c r="AW132" s="1"/>
      <c r="AX132" s="1"/>
      <c r="AY132" s="1"/>
      <c r="AZ132" s="1"/>
    </row>
    <row r="133" spans="1:52" s="12" customFormat="1" ht="14.4" customHeight="1" x14ac:dyDescent="0.3">
      <c r="A133" s="1"/>
      <c r="B133" s="213"/>
      <c r="C133" s="213"/>
      <c r="D133" s="3"/>
      <c r="E133" s="1"/>
      <c r="F133" s="1"/>
      <c r="G133" s="223"/>
      <c r="H133" s="223"/>
      <c r="I133" s="223"/>
      <c r="J133" s="321" t="s">
        <v>282</v>
      </c>
      <c r="K133" s="322">
        <f>SUM(K107:K132)</f>
        <v>0</v>
      </c>
      <c r="L133" s="383"/>
      <c r="M133" s="252"/>
      <c r="N133" s="323"/>
      <c r="O133" s="576">
        <f>SUM(O107:O132)</f>
        <v>0</v>
      </c>
      <c r="P133" s="577"/>
      <c r="Q133" s="578">
        <f>SUM(Q107:Q132)</f>
        <v>0</v>
      </c>
      <c r="R133" s="579"/>
      <c r="S133" s="581">
        <f>SUM(S107:S132)</f>
        <v>0</v>
      </c>
      <c r="T133" s="582"/>
      <c r="U133" s="584">
        <f>SUM(U107:U132)</f>
        <v>0</v>
      </c>
      <c r="V133" s="585"/>
      <c r="W133" s="587">
        <f>SUM(W107:W132)</f>
        <v>0</v>
      </c>
      <c r="X133" s="324"/>
      <c r="Y133" s="1"/>
      <c r="Z133" s="1"/>
      <c r="AA133" s="1"/>
      <c r="AB133" s="1"/>
      <c r="AC133" s="1"/>
      <c r="AD133" s="1"/>
      <c r="AE133" s="1"/>
      <c r="AF133" s="1"/>
      <c r="AG133" s="1"/>
      <c r="AH133" s="16" t="e">
        <f>SUM(AH107:AH132)</f>
        <v>#NUM!</v>
      </c>
      <c r="AI133" s="6"/>
      <c r="AJ133" s="6"/>
      <c r="AK133" s="16" t="e">
        <f>SUM(AK107:AK132)</f>
        <v>#NUM!</v>
      </c>
      <c r="AL133" s="16"/>
      <c r="AM133" s="17" t="e">
        <f>SUM(AM107:AM132)</f>
        <v>#NUM!</v>
      </c>
      <c r="AN133" s="17"/>
      <c r="AO133" s="18" t="e">
        <f>SUM(AO107:AO132)</f>
        <v>#NUM!</v>
      </c>
      <c r="AP133" s="18"/>
      <c r="AQ133" s="19" t="e">
        <f>SUM(AQ107:AQ132)</f>
        <v>#NUM!</v>
      </c>
      <c r="AR133" s="19"/>
      <c r="AS133" s="11" t="e">
        <f>SUM(AS107:AS132)</f>
        <v>#NUM!</v>
      </c>
      <c r="AT133" s="11"/>
      <c r="AU133" s="1"/>
      <c r="AV133" s="1"/>
      <c r="AW133" s="1"/>
      <c r="AX133" s="1"/>
      <c r="AY133" s="1"/>
      <c r="AZ133" s="1"/>
    </row>
    <row r="134" spans="1:52" s="12" customFormat="1" ht="14.4" customHeight="1" thickBot="1" x14ac:dyDescent="0.35">
      <c r="A134" s="1"/>
      <c r="B134" s="1"/>
      <c r="C134" s="1"/>
      <c r="D134" s="3"/>
      <c r="E134" s="1"/>
      <c r="F134" s="223"/>
      <c r="G134" s="223"/>
      <c r="H134" s="223"/>
      <c r="I134" s="223"/>
      <c r="J134" s="321" t="s">
        <v>266</v>
      </c>
      <c r="K134" s="325" t="e">
        <f>K133/K74</f>
        <v>#DIV/0!</v>
      </c>
      <c r="L134" s="552" t="s">
        <v>114</v>
      </c>
      <c r="M134" s="260"/>
      <c r="N134" s="260"/>
      <c r="O134" s="558" t="e">
        <f>O133/AK98</f>
        <v>#DIV/0!</v>
      </c>
      <c r="P134" s="393" t="s">
        <v>114</v>
      </c>
      <c r="Q134" s="562" t="e">
        <f>Q133/AM98</f>
        <v>#DIV/0!</v>
      </c>
      <c r="R134" s="580" t="s">
        <v>114</v>
      </c>
      <c r="S134" s="566" t="e">
        <f>S133/AO98</f>
        <v>#DIV/0!</v>
      </c>
      <c r="T134" s="583" t="s">
        <v>114</v>
      </c>
      <c r="U134" s="570" t="e">
        <f>U133/AQ98</f>
        <v>#DIV/0!</v>
      </c>
      <c r="V134" s="586" t="s">
        <v>114</v>
      </c>
      <c r="W134" s="574" t="e">
        <f>W133/AS98</f>
        <v>#DIV/0!</v>
      </c>
      <c r="X134" s="326" t="s">
        <v>114</v>
      </c>
      <c r="Y134" s="40"/>
      <c r="Z134" s="40"/>
      <c r="AA134" s="1"/>
      <c r="AB134" s="1"/>
      <c r="AC134" s="1"/>
      <c r="AD134" s="1"/>
      <c r="AE134" s="1"/>
      <c r="AF134" s="1"/>
      <c r="AG134" s="1"/>
      <c r="AH134" s="212"/>
      <c r="AI134" s="6"/>
      <c r="AJ134" s="6"/>
      <c r="AK134" s="16"/>
      <c r="AL134" s="16"/>
      <c r="AM134" s="17"/>
      <c r="AN134" s="17"/>
      <c r="AO134" s="18"/>
      <c r="AP134" s="18"/>
      <c r="AQ134" s="19"/>
      <c r="AR134" s="19"/>
      <c r="AS134" s="11"/>
      <c r="AT134" s="11"/>
      <c r="AU134" s="1"/>
      <c r="AV134" s="1"/>
      <c r="AW134" s="1"/>
      <c r="AX134" s="1"/>
      <c r="AY134" s="1"/>
      <c r="AZ134" s="1"/>
    </row>
    <row r="135" spans="1:52" s="12" customFormat="1" ht="14.4" customHeight="1" thickBot="1" x14ac:dyDescent="0.35">
      <c r="A135" s="1"/>
      <c r="B135" s="1"/>
      <c r="C135" s="1"/>
      <c r="D135" s="3"/>
      <c r="G135" s="1"/>
      <c r="H135" s="1"/>
      <c r="I135" s="1"/>
      <c r="J135" s="1"/>
      <c r="Y135" s="1"/>
      <c r="Z135" s="1"/>
      <c r="AA135" s="1"/>
      <c r="AB135" s="1"/>
      <c r="AC135" s="1"/>
      <c r="AD135" s="1"/>
      <c r="AE135" s="1"/>
      <c r="AF135" s="1"/>
      <c r="AG135" s="1"/>
      <c r="AH135" s="212"/>
      <c r="AI135" s="6"/>
      <c r="AJ135" s="6"/>
      <c r="AK135" s="16"/>
      <c r="AL135" s="16"/>
      <c r="AM135" s="17"/>
      <c r="AN135" s="17"/>
      <c r="AO135" s="18"/>
      <c r="AP135" s="18"/>
      <c r="AQ135" s="19"/>
      <c r="AR135" s="19"/>
      <c r="AS135" s="11"/>
      <c r="AT135" s="11"/>
      <c r="AU135" s="1"/>
      <c r="AV135" s="1"/>
      <c r="AW135" s="1"/>
      <c r="AX135" s="1"/>
      <c r="AY135" s="1"/>
      <c r="AZ135" s="1"/>
    </row>
    <row r="136" spans="1:52" s="12" customFormat="1" ht="14.4" customHeight="1" x14ac:dyDescent="0.3">
      <c r="A136" s="1"/>
      <c r="B136" s="1"/>
      <c r="C136" s="1"/>
      <c r="D136" s="3"/>
      <c r="E136" s="1"/>
      <c r="F136" s="1"/>
      <c r="G136" s="1"/>
      <c r="H136" s="1"/>
      <c r="I136" s="38" t="s">
        <v>80</v>
      </c>
      <c r="J136" s="907"/>
      <c r="K136" s="322" t="e">
        <f>J136*K73</f>
        <v>#DIV/0!</v>
      </c>
      <c r="L136" s="557"/>
      <c r="M136" s="252"/>
      <c r="N136" s="252"/>
      <c r="O136" s="508" t="e">
        <f>$J136*AK98</f>
        <v>#DIV/0!</v>
      </c>
      <c r="P136" s="389"/>
      <c r="Q136" s="512" t="e">
        <f>$J136*AM98</f>
        <v>#DIV/0!</v>
      </c>
      <c r="R136" s="513"/>
      <c r="S136" s="518" t="e">
        <f>$J136*AO98</f>
        <v>#DIV/0!</v>
      </c>
      <c r="T136" s="421"/>
      <c r="U136" s="521" t="e">
        <f>$J136*AQ98</f>
        <v>#DIV/0!</v>
      </c>
      <c r="V136" s="522"/>
      <c r="W136" s="527" t="e">
        <f>$J136*AS98</f>
        <v>#DIV/0!</v>
      </c>
      <c r="X136" s="328"/>
      <c r="Y136" s="1"/>
      <c r="Z136" s="1"/>
      <c r="AA136" s="1"/>
      <c r="AB136" s="1"/>
      <c r="AC136" s="1"/>
      <c r="AD136" s="1"/>
      <c r="AE136" s="1"/>
      <c r="AF136" s="1"/>
      <c r="AG136" s="38" t="s">
        <v>52</v>
      </c>
      <c r="AH136" s="5" t="e">
        <f>PMT($I$42,100,K136,0,0)</f>
        <v>#DIV/0!</v>
      </c>
      <c r="AI136" s="6"/>
      <c r="AJ136" s="6"/>
      <c r="AK136" s="5" t="e">
        <f>PMT($I$42,100,O136,0,0)</f>
        <v>#DIV/0!</v>
      </c>
      <c r="AL136" s="5"/>
      <c r="AM136" s="7" t="e">
        <f>PMT($I$42,100,Q136,0,0)</f>
        <v>#DIV/0!</v>
      </c>
      <c r="AN136" s="7"/>
      <c r="AO136" s="8" t="e">
        <f>PMT($I$42,100,S136,0,0)</f>
        <v>#DIV/0!</v>
      </c>
      <c r="AP136" s="8"/>
      <c r="AQ136" s="9" t="e">
        <f>PMT($I$42,100,U136,0,0)</f>
        <v>#DIV/0!</v>
      </c>
      <c r="AR136" s="9"/>
      <c r="AS136" s="10" t="e">
        <f>PMT($I$42,100,W136,0,0)</f>
        <v>#DIV/0!</v>
      </c>
      <c r="AT136" s="10"/>
      <c r="AU136" s="1"/>
      <c r="AV136" s="1"/>
      <c r="AW136" s="1"/>
      <c r="AX136" s="1"/>
      <c r="AY136" s="1"/>
      <c r="AZ136" s="1"/>
    </row>
    <row r="137" spans="1:52" s="12" customFormat="1" ht="14.4" customHeight="1" x14ac:dyDescent="0.3">
      <c r="A137" s="1"/>
      <c r="B137" s="1"/>
      <c r="C137" s="1"/>
      <c r="D137" s="3"/>
      <c r="E137" s="1"/>
      <c r="F137" s="1"/>
      <c r="G137" s="1"/>
      <c r="H137" s="1"/>
      <c r="I137" s="1"/>
      <c r="J137" s="321" t="s">
        <v>281</v>
      </c>
      <c r="K137" s="329" t="e">
        <f>K133+K136</f>
        <v>#DIV/0!</v>
      </c>
      <c r="L137" s="551"/>
      <c r="M137" s="39"/>
      <c r="N137" s="39"/>
      <c r="O137" s="509" t="e">
        <f>O133+O136</f>
        <v>#DIV/0!</v>
      </c>
      <c r="P137" s="396"/>
      <c r="Q137" s="514" t="e">
        <f t="shared" ref="Q137:W137" si="6">Q133+Q136</f>
        <v>#DIV/0!</v>
      </c>
      <c r="R137" s="515"/>
      <c r="S137" s="519" t="e">
        <f t="shared" si="6"/>
        <v>#DIV/0!</v>
      </c>
      <c r="T137" s="418"/>
      <c r="U137" s="523" t="e">
        <f t="shared" si="6"/>
        <v>#DIV/0!</v>
      </c>
      <c r="V137" s="524"/>
      <c r="W137" s="528" t="e">
        <f t="shared" si="6"/>
        <v>#DIV/0!</v>
      </c>
      <c r="X137" s="330"/>
      <c r="Y137" s="1"/>
      <c r="Z137" s="1"/>
      <c r="AA137" s="1"/>
      <c r="AB137" s="1"/>
      <c r="AC137" s="1"/>
      <c r="AD137" s="1"/>
      <c r="AE137" s="1"/>
      <c r="AF137" s="1"/>
      <c r="AG137" s="38" t="s">
        <v>53</v>
      </c>
      <c r="AH137" s="16" t="e">
        <f>AH133+AH136</f>
        <v>#NUM!</v>
      </c>
      <c r="AI137" s="6"/>
      <c r="AJ137" s="6"/>
      <c r="AK137" s="16" t="e">
        <f>AK133+AK136</f>
        <v>#NUM!</v>
      </c>
      <c r="AL137" s="16"/>
      <c r="AM137" s="17" t="e">
        <f>AM133+AM136</f>
        <v>#NUM!</v>
      </c>
      <c r="AN137" s="17"/>
      <c r="AO137" s="18" t="e">
        <f>AO133+AO136</f>
        <v>#NUM!</v>
      </c>
      <c r="AP137" s="18"/>
      <c r="AQ137" s="19" t="e">
        <f>AQ133+AQ136</f>
        <v>#NUM!</v>
      </c>
      <c r="AR137" s="19"/>
      <c r="AS137" s="11" t="e">
        <f>AS133+AS136</f>
        <v>#NUM!</v>
      </c>
      <c r="AT137" s="11"/>
      <c r="AU137" s="1"/>
      <c r="AV137" s="1"/>
      <c r="AW137" s="1"/>
      <c r="AX137" s="1"/>
      <c r="AY137" s="1"/>
      <c r="AZ137" s="1"/>
    </row>
    <row r="138" spans="1:52" s="12" customFormat="1" ht="14.4" customHeight="1" thickBot="1" x14ac:dyDescent="0.35">
      <c r="A138" s="1"/>
      <c r="B138" s="1"/>
      <c r="C138" s="1"/>
      <c r="D138" s="3"/>
      <c r="E138" s="40"/>
      <c r="F138" s="1"/>
      <c r="G138" s="1"/>
      <c r="H138" s="1"/>
      <c r="I138" s="1"/>
      <c r="J138" s="38" t="s">
        <v>267</v>
      </c>
      <c r="K138" s="331" t="e">
        <f>K137/K74</f>
        <v>#DIV/0!</v>
      </c>
      <c r="L138" s="552" t="s">
        <v>114</v>
      </c>
      <c r="M138" s="260"/>
      <c r="N138" s="260"/>
      <c r="O138" s="558" t="e">
        <f>O137/AK98</f>
        <v>#DIV/0!</v>
      </c>
      <c r="P138" s="559" t="s">
        <v>114</v>
      </c>
      <c r="Q138" s="562" t="e">
        <f>Q137/AM98</f>
        <v>#DIV/0!</v>
      </c>
      <c r="R138" s="563" t="s">
        <v>114</v>
      </c>
      <c r="S138" s="566" t="e">
        <f>S137/AO98</f>
        <v>#DIV/0!</v>
      </c>
      <c r="T138" s="567" t="s">
        <v>114</v>
      </c>
      <c r="U138" s="570" t="e">
        <f>U137/AQ98</f>
        <v>#DIV/0!</v>
      </c>
      <c r="V138" s="571" t="s">
        <v>114</v>
      </c>
      <c r="W138" s="574" t="e">
        <f>W137/AS98</f>
        <v>#DIV/0!</v>
      </c>
      <c r="X138" s="332" t="s">
        <v>114</v>
      </c>
      <c r="Y138" s="1"/>
      <c r="Z138" s="1"/>
      <c r="AA138" s="1"/>
      <c r="AB138" s="1"/>
      <c r="AC138" s="1"/>
      <c r="AD138" s="1"/>
      <c r="AE138" s="1"/>
      <c r="AF138" s="1"/>
      <c r="AG138" s="1"/>
      <c r="AH138" s="1"/>
      <c r="AI138" s="6"/>
      <c r="AJ138" s="6"/>
      <c r="AK138" s="16"/>
      <c r="AL138" s="16"/>
      <c r="AM138" s="17"/>
      <c r="AN138" s="17"/>
      <c r="AO138" s="18"/>
      <c r="AP138" s="18"/>
      <c r="AQ138" s="19"/>
      <c r="AR138" s="19"/>
      <c r="AS138" s="11"/>
      <c r="AT138" s="11"/>
      <c r="AU138" s="1"/>
      <c r="AV138" s="1"/>
      <c r="AW138" s="1"/>
      <c r="AX138" s="1"/>
      <c r="AY138" s="1"/>
      <c r="AZ138" s="1"/>
    </row>
    <row r="139" spans="1:52" s="12" customFormat="1" ht="14.4" customHeight="1" thickBot="1" x14ac:dyDescent="0.35">
      <c r="A139" s="1"/>
      <c r="B139" s="1"/>
      <c r="C139" s="1"/>
      <c r="D139" s="3"/>
      <c r="E139" s="1"/>
      <c r="F139" s="223"/>
      <c r="G139" s="223"/>
      <c r="H139" s="223"/>
      <c r="I139" s="223"/>
      <c r="J139" s="321" t="s">
        <v>268</v>
      </c>
      <c r="K139" s="333" t="e">
        <f>K137/K61</f>
        <v>#DIV/0!</v>
      </c>
      <c r="L139" s="556" t="s">
        <v>114</v>
      </c>
      <c r="M139" s="334"/>
      <c r="N139" s="334"/>
      <c r="O139" s="560" t="e">
        <f>O137/O102</f>
        <v>#DIV/0!</v>
      </c>
      <c r="P139" s="561" t="s">
        <v>114</v>
      </c>
      <c r="Q139" s="564" t="e">
        <f>Q137/Q102</f>
        <v>#DIV/0!</v>
      </c>
      <c r="R139" s="565" t="s">
        <v>114</v>
      </c>
      <c r="S139" s="568" t="e">
        <f>S137/S102</f>
        <v>#DIV/0!</v>
      </c>
      <c r="T139" s="569" t="s">
        <v>114</v>
      </c>
      <c r="U139" s="572" t="e">
        <f>U137/U102</f>
        <v>#DIV/0!</v>
      </c>
      <c r="V139" s="573" t="s">
        <v>114</v>
      </c>
      <c r="W139" s="575" t="e">
        <f>W137/W102</f>
        <v>#DIV/0!</v>
      </c>
      <c r="X139" s="335" t="s">
        <v>114</v>
      </c>
      <c r="Y139" s="1"/>
      <c r="Z139" s="1"/>
      <c r="AA139" s="1"/>
      <c r="AB139" s="1"/>
      <c r="AC139" s="1"/>
      <c r="AD139" s="1"/>
      <c r="AE139" s="1"/>
      <c r="AF139" s="1"/>
      <c r="AG139" s="1"/>
      <c r="AH139" s="1"/>
      <c r="AI139" s="6"/>
      <c r="AJ139" s="6"/>
      <c r="AK139" s="16"/>
      <c r="AL139" s="16"/>
      <c r="AM139" s="17"/>
      <c r="AN139" s="17"/>
      <c r="AO139" s="18"/>
      <c r="AP139" s="18"/>
      <c r="AQ139" s="19"/>
      <c r="AR139" s="19"/>
      <c r="AS139" s="11"/>
      <c r="AT139" s="11"/>
      <c r="AU139" s="1"/>
      <c r="AV139" s="1"/>
      <c r="AW139" s="1"/>
      <c r="AX139" s="1"/>
      <c r="AY139" s="1"/>
      <c r="AZ139" s="1"/>
    </row>
    <row r="140" spans="1:52" s="12" customFormat="1" ht="14.4" customHeight="1" thickBot="1" x14ac:dyDescent="0.35">
      <c r="A140" s="1"/>
      <c r="B140" s="1"/>
      <c r="C140" s="1"/>
      <c r="D140" s="3"/>
      <c r="E140" s="1"/>
      <c r="F140" s="76" t="s">
        <v>33</v>
      </c>
      <c r="G140" s="223"/>
      <c r="H140" s="223"/>
      <c r="I140" s="223"/>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row>
    <row r="141" spans="1:52" s="12" customFormat="1" ht="14.4" customHeight="1" x14ac:dyDescent="0.3">
      <c r="A141" s="1"/>
      <c r="B141" s="1"/>
      <c r="C141" s="1"/>
      <c r="D141" s="3"/>
      <c r="E141" s="1"/>
      <c r="F141" s="336"/>
      <c r="G141" s="1"/>
      <c r="H141" s="336"/>
      <c r="I141" s="336"/>
      <c r="J141" s="337" t="s">
        <v>270</v>
      </c>
      <c r="K141" s="322" t="e">
        <f>AH137*(-1)</f>
        <v>#NUM!</v>
      </c>
      <c r="L141" s="383"/>
      <c r="M141" s="252"/>
      <c r="N141" s="252"/>
      <c r="O141" s="508" t="e">
        <f>AK137*(-1)</f>
        <v>#NUM!</v>
      </c>
      <c r="P141" s="389"/>
      <c r="Q141" s="512" t="e">
        <f>AM137*(-1)</f>
        <v>#NUM!</v>
      </c>
      <c r="R141" s="513"/>
      <c r="S141" s="518" t="e">
        <f>AO137*(-1)</f>
        <v>#NUM!</v>
      </c>
      <c r="T141" s="421"/>
      <c r="U141" s="521" t="e">
        <f>AQ137*(-1)</f>
        <v>#NUM!</v>
      </c>
      <c r="V141" s="522"/>
      <c r="W141" s="527" t="e">
        <f>AS137*(-1)</f>
        <v>#NUM!</v>
      </c>
      <c r="X141" s="328"/>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row>
    <row r="142" spans="1:52" s="12" customFormat="1" ht="14.4" customHeight="1" x14ac:dyDescent="0.3">
      <c r="A142" s="1"/>
      <c r="B142" s="1"/>
      <c r="C142" s="1"/>
      <c r="D142" s="3"/>
      <c r="E142" s="1"/>
      <c r="F142" s="1"/>
      <c r="G142" s="1"/>
      <c r="H142" s="1"/>
      <c r="I142" s="38" t="s">
        <v>263</v>
      </c>
      <c r="J142" s="908"/>
      <c r="K142" s="329">
        <f>J142*K133</f>
        <v>0</v>
      </c>
      <c r="L142" s="385"/>
      <c r="M142" s="39"/>
      <c r="N142" s="39"/>
      <c r="O142" s="509">
        <f>$J142*O133</f>
        <v>0</v>
      </c>
      <c r="P142" s="396"/>
      <c r="Q142" s="514">
        <f>J142*Q133</f>
        <v>0</v>
      </c>
      <c r="R142" s="515"/>
      <c r="S142" s="519">
        <f>J142*S133</f>
        <v>0</v>
      </c>
      <c r="T142" s="418"/>
      <c r="U142" s="523">
        <f>J142*U133</f>
        <v>0</v>
      </c>
      <c r="V142" s="524"/>
      <c r="W142" s="528">
        <f>J142*W133</f>
        <v>0</v>
      </c>
      <c r="X142" s="330"/>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row>
    <row r="143" spans="1:52" s="12" customFormat="1" ht="14.4" customHeight="1" thickBot="1" x14ac:dyDescent="0.35">
      <c r="A143" s="1"/>
      <c r="B143" s="1"/>
      <c r="C143" s="1"/>
      <c r="D143" s="3"/>
      <c r="E143" s="1"/>
      <c r="F143" s="1"/>
      <c r="G143" s="1"/>
      <c r="H143" s="1"/>
      <c r="I143" s="38" t="s">
        <v>239</v>
      </c>
      <c r="J143" s="908"/>
      <c r="K143" s="338">
        <f>J143*K133</f>
        <v>0</v>
      </c>
      <c r="L143" s="387"/>
      <c r="M143" s="260"/>
      <c r="N143" s="260"/>
      <c r="O143" s="510">
        <f>J143*O133</f>
        <v>0</v>
      </c>
      <c r="P143" s="511"/>
      <c r="Q143" s="516">
        <f>J143*Q133</f>
        <v>0</v>
      </c>
      <c r="R143" s="517"/>
      <c r="S143" s="520">
        <f>J143*S133</f>
        <v>0</v>
      </c>
      <c r="T143" s="420"/>
      <c r="U143" s="525">
        <f>U133*J143</f>
        <v>0</v>
      </c>
      <c r="V143" s="526"/>
      <c r="W143" s="529">
        <f>J143*W133</f>
        <v>0</v>
      </c>
      <c r="X143" s="339"/>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row>
    <row r="144" spans="1:52" s="12" customFormat="1" ht="14.4" customHeight="1" thickBot="1" x14ac:dyDescent="0.35">
      <c r="A144" s="1"/>
      <c r="B144" s="1"/>
      <c r="C144" s="1"/>
      <c r="D144" s="3"/>
      <c r="E144" s="1"/>
      <c r="F144" s="1"/>
      <c r="G144" s="40"/>
      <c r="H144" s="1"/>
      <c r="I144" s="1" t="s">
        <v>144</v>
      </c>
      <c r="J144" s="1"/>
      <c r="K144" s="22"/>
      <c r="L144" s="22"/>
      <c r="M144" s="39"/>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row>
    <row r="145" spans="1:52" s="12" customFormat="1" ht="14.4" customHeight="1" thickBot="1" x14ac:dyDescent="0.35">
      <c r="A145" s="1"/>
      <c r="B145" s="1"/>
      <c r="C145" s="1"/>
      <c r="D145" s="3"/>
      <c r="E145" s="1"/>
      <c r="F145" s="1"/>
      <c r="G145" s="40"/>
      <c r="H145" s="1"/>
      <c r="I145" s="1"/>
      <c r="J145" s="321" t="s">
        <v>269</v>
      </c>
      <c r="K145" s="340" t="e">
        <f>K141+K142+K143</f>
        <v>#NUM!</v>
      </c>
      <c r="L145" s="341"/>
      <c r="M145" s="334"/>
      <c r="N145" s="334"/>
      <c r="O145" s="401" t="e">
        <f>O141+O142+O143</f>
        <v>#NUM!</v>
      </c>
      <c r="P145" s="402"/>
      <c r="Q145" s="394" t="e">
        <f>Q141+Q142+Q143</f>
        <v>#NUM!</v>
      </c>
      <c r="R145" s="507"/>
      <c r="S145" s="428" t="e">
        <f>S141+S142+S143</f>
        <v>#NUM!</v>
      </c>
      <c r="T145" s="429"/>
      <c r="U145" s="439" t="e">
        <f>U141+U142+U143</f>
        <v>#NUM!</v>
      </c>
      <c r="V145" s="440"/>
      <c r="W145" s="446" t="e">
        <f>W141+W142+W143</f>
        <v>#NUM!</v>
      </c>
      <c r="X145" s="342"/>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row>
    <row r="146" spans="1:52" s="12" customFormat="1" ht="14.4" customHeight="1" thickBot="1" x14ac:dyDescent="0.35">
      <c r="A146" s="1"/>
      <c r="B146" s="1"/>
      <c r="C146" s="1"/>
      <c r="D146" s="3"/>
      <c r="E146" s="1"/>
      <c r="F146" s="1"/>
      <c r="G146" s="1"/>
      <c r="H146" s="1"/>
      <c r="I146" s="1289" t="s">
        <v>291</v>
      </c>
      <c r="J146" s="1290"/>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row>
    <row r="147" spans="1:52" s="12" customFormat="1" ht="14.4" customHeight="1" thickBot="1" x14ac:dyDescent="0.35">
      <c r="A147" s="1"/>
      <c r="B147" s="42" t="s">
        <v>229</v>
      </c>
      <c r="C147" s="1"/>
      <c r="D147" s="3"/>
      <c r="E147" s="1"/>
      <c r="F147" s="1"/>
      <c r="G147" s="40"/>
      <c r="H147" s="1"/>
      <c r="I147" s="1"/>
      <c r="J147" s="38"/>
      <c r="K147" s="530" t="str">
        <f>K55</f>
        <v>Existing Production System</v>
      </c>
      <c r="L147" s="530"/>
      <c r="M147" s="531"/>
      <c r="N147" s="321"/>
      <c r="O147" s="1268">
        <f>O104</f>
        <v>1</v>
      </c>
      <c r="P147" s="1269"/>
      <c r="Q147" s="1270">
        <f>Q104</f>
        <v>2</v>
      </c>
      <c r="R147" s="1271"/>
      <c r="S147" s="1272">
        <f>S104</f>
        <v>3</v>
      </c>
      <c r="T147" s="1273"/>
      <c r="U147" s="1274">
        <f>U104</f>
        <v>4</v>
      </c>
      <c r="V147" s="1275"/>
      <c r="W147" s="1276">
        <f>W104</f>
        <v>5</v>
      </c>
      <c r="X147" s="1277"/>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row>
    <row r="148" spans="1:52" s="12" customFormat="1" ht="14.4" customHeight="1" thickBot="1" x14ac:dyDescent="0.35">
      <c r="A148" s="1"/>
      <c r="B148" s="1"/>
      <c r="C148" s="1"/>
      <c r="D148" s="1"/>
      <c r="E148" s="1"/>
      <c r="F148" s="1"/>
      <c r="G148" s="223"/>
      <c r="H148" s="223"/>
      <c r="I148" s="223"/>
      <c r="J148" s="265" t="s">
        <v>252</v>
      </c>
      <c r="K148" s="532" t="s">
        <v>72</v>
      </c>
      <c r="L148" s="533"/>
      <c r="M148" s="38"/>
      <c r="N148" s="38"/>
      <c r="O148" s="1211" t="s">
        <v>115</v>
      </c>
      <c r="P148" s="1212"/>
      <c r="Q148" s="1213" t="str">
        <f>O148</f>
        <v>Expected Cost/Sow/Yr</v>
      </c>
      <c r="R148" s="1214"/>
      <c r="S148" s="1215" t="str">
        <f>O148</f>
        <v>Expected Cost/Sow/Yr</v>
      </c>
      <c r="T148" s="1216"/>
      <c r="U148" s="1217" t="str">
        <f>O148</f>
        <v>Expected Cost/Sow/Yr</v>
      </c>
      <c r="V148" s="1218"/>
      <c r="W148" s="1219" t="str">
        <f>O148</f>
        <v>Expected Cost/Sow/Yr</v>
      </c>
      <c r="X148" s="1220"/>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1:52" s="12" customFormat="1" ht="14.4" customHeight="1" x14ac:dyDescent="0.3">
      <c r="A149" s="1"/>
      <c r="B149" s="1"/>
      <c r="C149" s="1"/>
      <c r="D149" s="3"/>
      <c r="E149" s="214"/>
      <c r="F149" s="1"/>
      <c r="G149" s="14" t="s">
        <v>16</v>
      </c>
      <c r="H149" s="13"/>
      <c r="I149" s="13"/>
      <c r="J149" s="343"/>
      <c r="K149" s="534" t="e">
        <f>J149/K$58</f>
        <v>#DIV/0!</v>
      </c>
      <c r="L149" s="535" t="s">
        <v>114</v>
      </c>
      <c r="M149" s="252"/>
      <c r="N149" s="252"/>
      <c r="O149" s="459"/>
      <c r="P149" s="460" t="s">
        <v>114</v>
      </c>
      <c r="Q149" s="459"/>
      <c r="R149" s="475" t="s">
        <v>114</v>
      </c>
      <c r="S149" s="459"/>
      <c r="T149" s="485" t="s">
        <v>114</v>
      </c>
      <c r="U149" s="459"/>
      <c r="V149" s="495" t="s">
        <v>114</v>
      </c>
      <c r="W149" s="459"/>
      <c r="X149" s="344" t="s">
        <v>114</v>
      </c>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1:52" s="12" customFormat="1" ht="14.4" customHeight="1" x14ac:dyDescent="0.3">
      <c r="A150" s="1"/>
      <c r="B150" s="1"/>
      <c r="C150" s="1"/>
      <c r="D150" s="3"/>
      <c r="E150" s="1"/>
      <c r="F150" s="1"/>
      <c r="G150" s="21" t="s">
        <v>17</v>
      </c>
      <c r="H150" s="22"/>
      <c r="I150" s="22"/>
      <c r="J150" s="327"/>
      <c r="K150" s="536" t="e">
        <f t="shared" ref="K150:K161" si="7">J150/K$58</f>
        <v>#DIV/0!</v>
      </c>
      <c r="L150" s="537" t="s">
        <v>114</v>
      </c>
      <c r="M150" s="39"/>
      <c r="N150" s="39"/>
      <c r="O150" s="461"/>
      <c r="P150" s="462" t="s">
        <v>114</v>
      </c>
      <c r="Q150" s="461"/>
      <c r="R150" s="476" t="s">
        <v>114</v>
      </c>
      <c r="S150" s="461"/>
      <c r="T150" s="486" t="s">
        <v>114</v>
      </c>
      <c r="U150" s="461"/>
      <c r="V150" s="496" t="s">
        <v>114</v>
      </c>
      <c r="W150" s="461"/>
      <c r="X150" s="345" t="s">
        <v>114</v>
      </c>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1:52" s="12" customFormat="1" ht="14.4" customHeight="1" thickBot="1" x14ac:dyDescent="0.35">
      <c r="A151" s="1"/>
      <c r="B151" s="1"/>
      <c r="C151" s="1"/>
      <c r="D151" s="3"/>
      <c r="E151" s="1"/>
      <c r="F151" s="1"/>
      <c r="G151" s="24" t="s">
        <v>50</v>
      </c>
      <c r="H151" s="25"/>
      <c r="I151" s="25"/>
      <c r="J151" s="346"/>
      <c r="K151" s="538" t="e">
        <f t="shared" si="7"/>
        <v>#DIV/0!</v>
      </c>
      <c r="L151" s="539" t="s">
        <v>114</v>
      </c>
      <c r="M151" s="260"/>
      <c r="N151" s="260"/>
      <c r="O151" s="463"/>
      <c r="P151" s="464" t="s">
        <v>114</v>
      </c>
      <c r="Q151" s="463"/>
      <c r="R151" s="477" t="s">
        <v>114</v>
      </c>
      <c r="S151" s="463"/>
      <c r="T151" s="487" t="s">
        <v>114</v>
      </c>
      <c r="U151" s="463"/>
      <c r="V151" s="497" t="s">
        <v>114</v>
      </c>
      <c r="W151" s="463"/>
      <c r="X151" s="347" t="s">
        <v>114</v>
      </c>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1:52" s="12" customFormat="1" ht="14.4" customHeight="1" x14ac:dyDescent="0.3">
      <c r="A152" s="1"/>
      <c r="B152" s="1"/>
      <c r="C152" s="1"/>
      <c r="D152" s="3"/>
      <c r="E152" s="1"/>
      <c r="F152" s="1"/>
      <c r="G152" s="21" t="s">
        <v>18</v>
      </c>
      <c r="H152" s="14"/>
      <c r="I152" s="14"/>
      <c r="J152" s="343"/>
      <c r="K152" s="534" t="e">
        <f t="shared" si="7"/>
        <v>#DIV/0!</v>
      </c>
      <c r="L152" s="535" t="s">
        <v>114</v>
      </c>
      <c r="M152" s="252"/>
      <c r="N152" s="252"/>
      <c r="O152" s="459"/>
      <c r="P152" s="460" t="s">
        <v>114</v>
      </c>
      <c r="Q152" s="459"/>
      <c r="R152" s="475" t="s">
        <v>114</v>
      </c>
      <c r="S152" s="459"/>
      <c r="T152" s="485" t="s">
        <v>114</v>
      </c>
      <c r="U152" s="459"/>
      <c r="V152" s="495" t="s">
        <v>114</v>
      </c>
      <c r="W152" s="459"/>
      <c r="X152" s="344" t="s">
        <v>114</v>
      </c>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1:52" s="12" customFormat="1" ht="14.4" customHeight="1" x14ac:dyDescent="0.3">
      <c r="A153" s="1"/>
      <c r="B153" s="1"/>
      <c r="C153" s="1"/>
      <c r="D153" s="3"/>
      <c r="E153" s="1"/>
      <c r="F153" s="1"/>
      <c r="G153" s="21" t="s">
        <v>19</v>
      </c>
      <c r="H153" s="21"/>
      <c r="I153" s="21"/>
      <c r="J153" s="327"/>
      <c r="K153" s="536" t="e">
        <f t="shared" si="7"/>
        <v>#DIV/0!</v>
      </c>
      <c r="L153" s="537" t="s">
        <v>114</v>
      </c>
      <c r="M153" s="39"/>
      <c r="N153" s="39"/>
      <c r="O153" s="461"/>
      <c r="P153" s="462" t="s">
        <v>114</v>
      </c>
      <c r="Q153" s="461"/>
      <c r="R153" s="476" t="s">
        <v>114</v>
      </c>
      <c r="S153" s="461"/>
      <c r="T153" s="486" t="s">
        <v>114</v>
      </c>
      <c r="U153" s="461"/>
      <c r="V153" s="496" t="s">
        <v>114</v>
      </c>
      <c r="W153" s="461"/>
      <c r="X153" s="345" t="s">
        <v>114</v>
      </c>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1:52" s="12" customFormat="1" ht="14.4" customHeight="1" thickBot="1" x14ac:dyDescent="0.35">
      <c r="A154" s="1"/>
      <c r="B154" s="1"/>
      <c r="C154" s="1"/>
      <c r="D154" s="3"/>
      <c r="E154" s="1"/>
      <c r="F154" s="1"/>
      <c r="G154" s="24" t="s">
        <v>20</v>
      </c>
      <c r="H154" s="24"/>
      <c r="I154" s="24"/>
      <c r="J154" s="346"/>
      <c r="K154" s="538" t="e">
        <f t="shared" si="7"/>
        <v>#DIV/0!</v>
      </c>
      <c r="L154" s="539" t="s">
        <v>114</v>
      </c>
      <c r="M154" s="260"/>
      <c r="N154" s="260"/>
      <c r="O154" s="463"/>
      <c r="P154" s="464" t="s">
        <v>114</v>
      </c>
      <c r="Q154" s="463"/>
      <c r="R154" s="477" t="s">
        <v>114</v>
      </c>
      <c r="S154" s="463"/>
      <c r="T154" s="487" t="s">
        <v>114</v>
      </c>
      <c r="U154" s="463"/>
      <c r="V154" s="497" t="s">
        <v>114</v>
      </c>
      <c r="W154" s="463"/>
      <c r="X154" s="347" t="s">
        <v>114</v>
      </c>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52" s="12" customFormat="1" ht="14.4" customHeight="1" x14ac:dyDescent="0.3">
      <c r="A155" s="1"/>
      <c r="B155" s="1"/>
      <c r="C155" s="1"/>
      <c r="D155" s="209"/>
      <c r="E155" s="1"/>
      <c r="F155" s="1"/>
      <c r="G155" s="14"/>
      <c r="H155" s="13" t="s">
        <v>12</v>
      </c>
      <c r="I155" s="13"/>
      <c r="J155" s="343"/>
      <c r="K155" s="534" t="e">
        <f t="shared" si="7"/>
        <v>#DIV/0!</v>
      </c>
      <c r="L155" s="535" t="s">
        <v>114</v>
      </c>
      <c r="M155" s="252"/>
      <c r="N155" s="252"/>
      <c r="O155" s="459"/>
      <c r="P155" s="460" t="s">
        <v>114</v>
      </c>
      <c r="Q155" s="459"/>
      <c r="R155" s="475" t="s">
        <v>114</v>
      </c>
      <c r="S155" s="459"/>
      <c r="T155" s="485" t="s">
        <v>114</v>
      </c>
      <c r="U155" s="459"/>
      <c r="V155" s="495" t="s">
        <v>114</v>
      </c>
      <c r="W155" s="459"/>
      <c r="X155" s="344" t="s">
        <v>114</v>
      </c>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1:52" s="12" customFormat="1" ht="14.4" customHeight="1" x14ac:dyDescent="0.3">
      <c r="A156" s="1"/>
      <c r="B156" s="1"/>
      <c r="C156" s="1"/>
      <c r="D156" s="209"/>
      <c r="E156" s="1"/>
      <c r="F156" s="1"/>
      <c r="G156" s="21"/>
      <c r="H156" s="22" t="s">
        <v>21</v>
      </c>
      <c r="I156" s="22"/>
      <c r="J156" s="327"/>
      <c r="K156" s="536" t="e">
        <f t="shared" si="7"/>
        <v>#DIV/0!</v>
      </c>
      <c r="L156" s="537" t="s">
        <v>114</v>
      </c>
      <c r="M156" s="39"/>
      <c r="N156" s="39"/>
      <c r="O156" s="461"/>
      <c r="P156" s="462" t="s">
        <v>114</v>
      </c>
      <c r="Q156" s="461"/>
      <c r="R156" s="476" t="s">
        <v>114</v>
      </c>
      <c r="S156" s="461"/>
      <c r="T156" s="486" t="s">
        <v>114</v>
      </c>
      <c r="U156" s="461"/>
      <c r="V156" s="496" t="s">
        <v>114</v>
      </c>
      <c r="W156" s="461"/>
      <c r="X156" s="345" t="s">
        <v>114</v>
      </c>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1:52" s="12" customFormat="1" ht="14.4" customHeight="1" thickBot="1" x14ac:dyDescent="0.35">
      <c r="A157" s="1"/>
      <c r="B157" s="1"/>
      <c r="C157" s="1"/>
      <c r="D157" s="209"/>
      <c r="E157" s="1"/>
      <c r="F157" s="1"/>
      <c r="G157" s="24"/>
      <c r="H157" s="25" t="s">
        <v>22</v>
      </c>
      <c r="I157" s="25"/>
      <c r="J157" s="346"/>
      <c r="K157" s="538" t="e">
        <f t="shared" si="7"/>
        <v>#DIV/0!</v>
      </c>
      <c r="L157" s="539" t="s">
        <v>114</v>
      </c>
      <c r="M157" s="260"/>
      <c r="N157" s="260"/>
      <c r="O157" s="463"/>
      <c r="P157" s="464" t="s">
        <v>114</v>
      </c>
      <c r="Q157" s="463"/>
      <c r="R157" s="477" t="s">
        <v>114</v>
      </c>
      <c r="S157" s="463"/>
      <c r="T157" s="487" t="s">
        <v>114</v>
      </c>
      <c r="U157" s="463"/>
      <c r="V157" s="497" t="s">
        <v>114</v>
      </c>
      <c r="W157" s="463"/>
      <c r="X157" s="347" t="s">
        <v>114</v>
      </c>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1:52" s="12" customFormat="1" ht="14.4" customHeight="1" x14ac:dyDescent="0.3">
      <c r="A158" s="1"/>
      <c r="B158" s="1"/>
      <c r="C158" s="1"/>
      <c r="D158" s="209"/>
      <c r="E158" s="1"/>
      <c r="F158" s="1"/>
      <c r="G158" s="14"/>
      <c r="H158" s="13" t="s">
        <v>23</v>
      </c>
      <c r="I158" s="13"/>
      <c r="J158" s="343"/>
      <c r="K158" s="534" t="e">
        <f t="shared" si="7"/>
        <v>#DIV/0!</v>
      </c>
      <c r="L158" s="535" t="s">
        <v>114</v>
      </c>
      <c r="M158" s="252"/>
      <c r="N158" s="252"/>
      <c r="O158" s="459"/>
      <c r="P158" s="460" t="s">
        <v>114</v>
      </c>
      <c r="Q158" s="459"/>
      <c r="R158" s="475" t="s">
        <v>114</v>
      </c>
      <c r="S158" s="459"/>
      <c r="T158" s="485" t="s">
        <v>114</v>
      </c>
      <c r="U158" s="459"/>
      <c r="V158" s="495" t="s">
        <v>114</v>
      </c>
      <c r="W158" s="459"/>
      <c r="X158" s="344" t="s">
        <v>114</v>
      </c>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1:52" s="12" customFormat="1" ht="14.4" customHeight="1" x14ac:dyDescent="0.3">
      <c r="A159" s="1"/>
      <c r="B159" s="1"/>
      <c r="C159" s="1"/>
      <c r="D159" s="209"/>
      <c r="E159" s="1"/>
      <c r="F159" s="1"/>
      <c r="G159" s="21" t="s">
        <v>26</v>
      </c>
      <c r="H159" s="22"/>
      <c r="I159" s="22"/>
      <c r="J159" s="327"/>
      <c r="K159" s="536" t="e">
        <f t="shared" si="7"/>
        <v>#DIV/0!</v>
      </c>
      <c r="L159" s="537" t="s">
        <v>114</v>
      </c>
      <c r="M159" s="39"/>
      <c r="N159" s="39"/>
      <c r="O159" s="461"/>
      <c r="P159" s="462" t="s">
        <v>114</v>
      </c>
      <c r="Q159" s="461"/>
      <c r="R159" s="476" t="s">
        <v>114</v>
      </c>
      <c r="S159" s="461"/>
      <c r="T159" s="486" t="s">
        <v>114</v>
      </c>
      <c r="U159" s="461"/>
      <c r="V159" s="496" t="s">
        <v>114</v>
      </c>
      <c r="W159" s="461"/>
      <c r="X159" s="345" t="s">
        <v>114</v>
      </c>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1:52" s="12" customFormat="1" ht="14.4" customHeight="1" thickBot="1" x14ac:dyDescent="0.35">
      <c r="A160" s="1"/>
      <c r="B160" s="1"/>
      <c r="C160" s="1"/>
      <c r="D160" s="209"/>
      <c r="E160" s="1"/>
      <c r="F160" s="1"/>
      <c r="G160" s="24"/>
      <c r="H160" s="25" t="s">
        <v>27</v>
      </c>
      <c r="I160" s="25"/>
      <c r="J160" s="346"/>
      <c r="K160" s="538" t="e">
        <f t="shared" si="7"/>
        <v>#DIV/0!</v>
      </c>
      <c r="L160" s="539" t="s">
        <v>114</v>
      </c>
      <c r="M160" s="260"/>
      <c r="N160" s="260"/>
      <c r="O160" s="463"/>
      <c r="P160" s="464" t="s">
        <v>114</v>
      </c>
      <c r="Q160" s="463"/>
      <c r="R160" s="477" t="s">
        <v>114</v>
      </c>
      <c r="S160" s="463"/>
      <c r="T160" s="487" t="s">
        <v>114</v>
      </c>
      <c r="U160" s="463"/>
      <c r="V160" s="497" t="s">
        <v>114</v>
      </c>
      <c r="W160" s="463"/>
      <c r="X160" s="347" t="s">
        <v>114</v>
      </c>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52" s="12" customFormat="1" ht="14.4" customHeight="1" x14ac:dyDescent="0.3">
      <c r="A161" s="1"/>
      <c r="B161" s="1"/>
      <c r="C161" s="1"/>
      <c r="D161" s="209"/>
      <c r="E161" s="1"/>
      <c r="F161" s="1"/>
      <c r="G161" s="14"/>
      <c r="H161" s="13" t="s">
        <v>28</v>
      </c>
      <c r="I161" s="13"/>
      <c r="J161" s="343"/>
      <c r="K161" s="534" t="e">
        <f t="shared" si="7"/>
        <v>#DIV/0!</v>
      </c>
      <c r="L161" s="535" t="s">
        <v>114</v>
      </c>
      <c r="M161" s="252"/>
      <c r="N161" s="252"/>
      <c r="O161" s="459"/>
      <c r="P161" s="460" t="s">
        <v>114</v>
      </c>
      <c r="Q161" s="459"/>
      <c r="R161" s="475" t="s">
        <v>114</v>
      </c>
      <c r="S161" s="459"/>
      <c r="T161" s="485" t="s">
        <v>114</v>
      </c>
      <c r="U161" s="459"/>
      <c r="V161" s="495" t="s">
        <v>114</v>
      </c>
      <c r="W161" s="459"/>
      <c r="X161" s="344" t="s">
        <v>114</v>
      </c>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1:52" s="12" customFormat="1" ht="14.4" customHeight="1" x14ac:dyDescent="0.3">
      <c r="A162" s="1"/>
      <c r="B162" s="1"/>
      <c r="C162" s="1"/>
      <c r="D162" s="209"/>
      <c r="E162" s="214"/>
      <c r="F162" s="1"/>
      <c r="G162" s="21" t="s">
        <v>54</v>
      </c>
      <c r="H162" s="22"/>
      <c r="I162" s="22"/>
      <c r="J162" s="22"/>
      <c r="K162" s="536">
        <f>L162*J136</f>
        <v>0</v>
      </c>
      <c r="L162" s="348"/>
      <c r="M162" s="39"/>
      <c r="N162" s="39"/>
      <c r="O162" s="465">
        <f>P162*$J136</f>
        <v>0</v>
      </c>
      <c r="P162" s="466"/>
      <c r="Q162" s="478">
        <f>R162*$J136</f>
        <v>0</v>
      </c>
      <c r="R162" s="466"/>
      <c r="S162" s="488">
        <f>T162*$J136</f>
        <v>0</v>
      </c>
      <c r="T162" s="466"/>
      <c r="U162" s="498">
        <f>V162*$J136</f>
        <v>0</v>
      </c>
      <c r="V162" s="466"/>
      <c r="W162" s="504">
        <f>X162*$J136</f>
        <v>0</v>
      </c>
      <c r="X162" s="348"/>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1:52" s="12" customFormat="1" ht="14.4" customHeight="1" thickBot="1" x14ac:dyDescent="0.35">
      <c r="A163" s="1"/>
      <c r="B163" s="1"/>
      <c r="C163" s="1"/>
      <c r="D163" s="349"/>
      <c r="E163" s="1"/>
      <c r="F163" s="1"/>
      <c r="G163" s="1351"/>
      <c r="H163" s="1352"/>
      <c r="I163" s="1353"/>
      <c r="J163" s="350"/>
      <c r="K163" s="540" t="e">
        <f>J163/K$58</f>
        <v>#DIV/0!</v>
      </c>
      <c r="L163" s="537" t="s">
        <v>114</v>
      </c>
      <c r="M163" s="39"/>
      <c r="N163" s="39"/>
      <c r="O163" s="467"/>
      <c r="P163" s="462" t="s">
        <v>114</v>
      </c>
      <c r="Q163" s="467"/>
      <c r="R163" s="476" t="s">
        <v>114</v>
      </c>
      <c r="S163" s="467"/>
      <c r="T163" s="486" t="s">
        <v>114</v>
      </c>
      <c r="U163" s="467"/>
      <c r="V163" s="496" t="s">
        <v>114</v>
      </c>
      <c r="W163" s="467"/>
      <c r="X163" s="345" t="s">
        <v>114</v>
      </c>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1:52" s="12" customFormat="1" ht="14.4" customHeight="1" thickBot="1" x14ac:dyDescent="0.35">
      <c r="A164" s="1"/>
      <c r="B164" s="1"/>
      <c r="C164" s="1"/>
      <c r="D164" s="349"/>
      <c r="E164" s="1"/>
      <c r="F164" s="1"/>
      <c r="G164" s="1348"/>
      <c r="H164" s="1349"/>
      <c r="I164" s="1350"/>
      <c r="J164" s="351"/>
      <c r="K164" s="541" t="e">
        <f>J164/K$58</f>
        <v>#DIV/0!</v>
      </c>
      <c r="L164" s="535" t="s">
        <v>114</v>
      </c>
      <c r="M164" s="252"/>
      <c r="N164" s="252"/>
      <c r="O164" s="468"/>
      <c r="P164" s="460" t="s">
        <v>114</v>
      </c>
      <c r="Q164" s="468"/>
      <c r="R164" s="475" t="s">
        <v>114</v>
      </c>
      <c r="S164" s="468"/>
      <c r="T164" s="485" t="s">
        <v>114</v>
      </c>
      <c r="U164" s="468"/>
      <c r="V164" s="495" t="s">
        <v>114</v>
      </c>
      <c r="W164" s="468"/>
      <c r="X164" s="344" t="s">
        <v>114</v>
      </c>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1:52" s="12" customFormat="1" ht="14.4" customHeight="1" thickBot="1" x14ac:dyDescent="0.35">
      <c r="A165" s="1"/>
      <c r="B165" s="1"/>
      <c r="C165" s="1"/>
      <c r="D165" s="209"/>
      <c r="E165" s="1"/>
      <c r="F165" s="1"/>
      <c r="G165" s="295"/>
      <c r="H165" s="352"/>
      <c r="I165" s="352"/>
      <c r="J165" s="334" t="s">
        <v>42</v>
      </c>
      <c r="K165" s="333" t="e">
        <f>SUM(K149:K164)</f>
        <v>#DIV/0!</v>
      </c>
      <c r="L165" s="542" t="s">
        <v>114</v>
      </c>
      <c r="M165" s="334"/>
      <c r="N165" s="334"/>
      <c r="O165" s="469">
        <f>SUM(O149:O164)</f>
        <v>0</v>
      </c>
      <c r="P165" s="470" t="s">
        <v>114</v>
      </c>
      <c r="Q165" s="479">
        <f>SUM(Q149:Q164)</f>
        <v>0</v>
      </c>
      <c r="R165" s="480" t="s">
        <v>114</v>
      </c>
      <c r="S165" s="489">
        <f>SUM(S149:S164)</f>
        <v>0</v>
      </c>
      <c r="T165" s="490" t="s">
        <v>114</v>
      </c>
      <c r="U165" s="499">
        <f>SUM(U149:U164)</f>
        <v>0</v>
      </c>
      <c r="V165" s="500" t="s">
        <v>114</v>
      </c>
      <c r="W165" s="505">
        <f>SUM(W149:W164)</f>
        <v>0</v>
      </c>
      <c r="X165" s="353" t="s">
        <v>114</v>
      </c>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1:52" s="12" customFormat="1" ht="14.4" customHeight="1" thickBot="1" x14ac:dyDescent="0.35">
      <c r="A166" s="1"/>
      <c r="B166" s="1"/>
      <c r="C166" s="1"/>
      <c r="D166" s="209"/>
      <c r="E166" s="1"/>
      <c r="F166" s="1"/>
      <c r="G166" s="24"/>
      <c r="H166" s="25"/>
      <c r="I166" s="354"/>
      <c r="J166" s="355" t="s">
        <v>45</v>
      </c>
      <c r="K166" s="543" t="e">
        <f>K165*K74</f>
        <v>#DIV/0!</v>
      </c>
      <c r="L166" s="544"/>
      <c r="M166" s="260"/>
      <c r="N166" s="260"/>
      <c r="O166" s="471" t="e">
        <f>O165*AK98</f>
        <v>#DIV/0!</v>
      </c>
      <c r="P166" s="472"/>
      <c r="Q166" s="481" t="e">
        <f>Q165*AM98</f>
        <v>#DIV/0!</v>
      </c>
      <c r="R166" s="482"/>
      <c r="S166" s="491" t="e">
        <f>S165*AO98</f>
        <v>#DIV/0!</v>
      </c>
      <c r="T166" s="492"/>
      <c r="U166" s="501" t="e">
        <f>U165*AQ98</f>
        <v>#DIV/0!</v>
      </c>
      <c r="V166" s="502"/>
      <c r="W166" s="506" t="e">
        <f>W165*AS98</f>
        <v>#DIV/0!</v>
      </c>
      <c r="X166" s="356"/>
      <c r="Y166" s="40"/>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1:52" s="12" customFormat="1" ht="14.4" customHeight="1" thickBot="1" x14ac:dyDescent="0.35">
      <c r="A167" s="1"/>
      <c r="B167" s="1"/>
      <c r="C167" s="1"/>
      <c r="D167" s="209"/>
      <c r="E167" s="1"/>
      <c r="F167" s="1"/>
      <c r="G167" s="1"/>
      <c r="H167" s="1"/>
      <c r="I167" s="2"/>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1:52" s="12" customFormat="1" ht="14.4" customHeight="1" thickBot="1" x14ac:dyDescent="0.35">
      <c r="A168" s="1"/>
      <c r="B168" s="42" t="s">
        <v>230</v>
      </c>
      <c r="C168" s="1"/>
      <c r="D168" s="209"/>
      <c r="E168" s="1"/>
      <c r="F168" s="1"/>
      <c r="G168" s="1"/>
      <c r="H168" s="1"/>
      <c r="I168" s="1"/>
      <c r="J168" s="1152" t="s">
        <v>37</v>
      </c>
      <c r="K168" s="530" t="str">
        <f>K55</f>
        <v>Existing Production System</v>
      </c>
      <c r="L168" s="530"/>
      <c r="M168" s="530"/>
      <c r="N168" s="1134"/>
      <c r="O168" s="1181">
        <f>O104</f>
        <v>1</v>
      </c>
      <c r="P168" s="1182"/>
      <c r="Q168" s="1183">
        <f>Q104</f>
        <v>2</v>
      </c>
      <c r="R168" s="1184"/>
      <c r="S168" s="1185">
        <f>S104</f>
        <v>3</v>
      </c>
      <c r="T168" s="1186"/>
      <c r="U168" s="1187">
        <f>U104</f>
        <v>4</v>
      </c>
      <c r="V168" s="1188"/>
      <c r="W168" s="1189">
        <f>W104</f>
        <v>5</v>
      </c>
      <c r="X168" s="1190"/>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1:52" s="12" customFormat="1" ht="14.4" customHeight="1" x14ac:dyDescent="0.3">
      <c r="A169" s="1"/>
      <c r="B169" s="1"/>
      <c r="C169" s="1"/>
      <c r="D169" s="209"/>
      <c r="E169" s="1"/>
      <c r="F169" s="1"/>
      <c r="G169" s="1"/>
      <c r="H169" s="1"/>
      <c r="I169" s="357"/>
      <c r="J169" s="358" t="s">
        <v>31</v>
      </c>
      <c r="K169" s="382" t="e">
        <f>(I29+I32)*I27</f>
        <v>#DIV/0!</v>
      </c>
      <c r="L169" s="557" t="s">
        <v>213</v>
      </c>
      <c r="M169" s="252"/>
      <c r="N169" s="252"/>
      <c r="O169" s="395" t="e">
        <f>(AI29+AI32)*AI27</f>
        <v>#DIV/0!</v>
      </c>
      <c r="P169" s="807" t="s">
        <v>213</v>
      </c>
      <c r="Q169" s="403" t="e">
        <f>(AK29+AK32)*AK27</f>
        <v>#DIV/0!</v>
      </c>
      <c r="R169" s="809" t="s">
        <v>213</v>
      </c>
      <c r="S169" s="417" t="e">
        <f>(AM29+AM32)*AM27</f>
        <v>#DIV/0!</v>
      </c>
      <c r="T169" s="805" t="s">
        <v>213</v>
      </c>
      <c r="U169" s="430" t="e">
        <f>(AO29+AO32)*AO27</f>
        <v>#DIV/0!</v>
      </c>
      <c r="V169" s="813" t="s">
        <v>213</v>
      </c>
      <c r="W169" s="441" t="e">
        <f>(AQ29+AQ32)*AQ27</f>
        <v>#DIV/0!</v>
      </c>
      <c r="X169" s="816" t="s">
        <v>213</v>
      </c>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1:52" s="12" customFormat="1" ht="14.4" customHeight="1" x14ac:dyDescent="0.3">
      <c r="A170" s="1"/>
      <c r="B170" s="1"/>
      <c r="C170" s="1"/>
      <c r="D170" s="209"/>
      <c r="E170" s="1"/>
      <c r="F170" s="1"/>
      <c r="G170" s="1"/>
      <c r="H170" s="1"/>
      <c r="I170" s="359"/>
      <c r="J170" s="380" t="s">
        <v>222</v>
      </c>
      <c r="K170" s="384"/>
      <c r="L170" s="551" t="s">
        <v>43</v>
      </c>
      <c r="M170" s="378"/>
      <c r="N170" s="39"/>
      <c r="O170" s="384"/>
      <c r="P170" s="799" t="s">
        <v>43</v>
      </c>
      <c r="Q170" s="384"/>
      <c r="R170" s="800" t="s">
        <v>43</v>
      </c>
      <c r="S170" s="384"/>
      <c r="T170" s="801" t="s">
        <v>43</v>
      </c>
      <c r="U170" s="384"/>
      <c r="V170" s="803" t="s">
        <v>43</v>
      </c>
      <c r="W170" s="384">
        <f>K170</f>
        <v>0</v>
      </c>
      <c r="X170" s="804" t="s">
        <v>43</v>
      </c>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1:52" s="12" customFormat="1" ht="14.4" customHeight="1" thickBot="1" x14ac:dyDescent="0.35">
      <c r="A171" s="1"/>
      <c r="B171" s="1"/>
      <c r="C171" s="1"/>
      <c r="D171" s="209"/>
      <c r="E171" s="1"/>
      <c r="F171" s="1"/>
      <c r="G171" s="1"/>
      <c r="H171" s="1"/>
      <c r="I171" s="360"/>
      <c r="J171" s="381" t="s">
        <v>82</v>
      </c>
      <c r="K171" s="386" t="e">
        <f>K169*K170</f>
        <v>#DIV/0!</v>
      </c>
      <c r="L171" s="552" t="s">
        <v>43</v>
      </c>
      <c r="M171" s="361"/>
      <c r="N171" s="361"/>
      <c r="O171" s="397" t="e">
        <f>O170*O169</f>
        <v>#DIV/0!</v>
      </c>
      <c r="P171" s="398" t="s">
        <v>43</v>
      </c>
      <c r="Q171" s="406" t="e">
        <f>Q170*Q169</f>
        <v>#DIV/0!</v>
      </c>
      <c r="R171" s="407" t="s">
        <v>43</v>
      </c>
      <c r="S171" s="419" t="e">
        <f>S170*S169</f>
        <v>#DIV/0!</v>
      </c>
      <c r="T171" s="802" t="s">
        <v>43</v>
      </c>
      <c r="U171" s="431" t="e">
        <f>U170*U169</f>
        <v>#DIV/0!</v>
      </c>
      <c r="V171" s="432" t="s">
        <v>43</v>
      </c>
      <c r="W171" s="442" t="e">
        <f>W170*W169</f>
        <v>#DIV/0!</v>
      </c>
      <c r="X171" s="362" t="s">
        <v>43</v>
      </c>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1:52" s="12" customFormat="1" ht="14.4" customHeight="1" x14ac:dyDescent="0.3">
      <c r="A172" s="1"/>
      <c r="B172" s="1"/>
      <c r="C172" s="1"/>
      <c r="D172" s="209"/>
      <c r="E172" s="1"/>
      <c r="F172" s="1"/>
      <c r="G172" s="1"/>
      <c r="H172" s="1"/>
      <c r="I172" s="357"/>
      <c r="J172" s="545" t="s">
        <v>35</v>
      </c>
      <c r="K172" s="388"/>
      <c r="L172" s="557" t="s">
        <v>236</v>
      </c>
      <c r="M172" s="378"/>
      <c r="N172" s="378"/>
      <c r="O172" s="388"/>
      <c r="P172" s="808" t="s">
        <v>236</v>
      </c>
      <c r="Q172" s="388"/>
      <c r="R172" s="810" t="s">
        <v>236</v>
      </c>
      <c r="S172" s="388"/>
      <c r="T172" s="806" t="s">
        <v>236</v>
      </c>
      <c r="U172" s="388"/>
      <c r="V172" s="814" t="s">
        <v>236</v>
      </c>
      <c r="W172" s="388"/>
      <c r="X172" s="817" t="s">
        <v>236</v>
      </c>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1:52" s="12" customFormat="1" ht="14.4" customHeight="1" x14ac:dyDescent="0.3">
      <c r="A173" s="1"/>
      <c r="B173" s="1"/>
      <c r="C173" s="1"/>
      <c r="D173" s="209"/>
      <c r="E173" s="1"/>
      <c r="F173" s="1"/>
      <c r="G173" s="1"/>
      <c r="H173" s="1"/>
      <c r="I173" s="359"/>
      <c r="J173" s="546" t="s">
        <v>38</v>
      </c>
      <c r="K173" s="550" t="e">
        <f>K171*(1+K172)</f>
        <v>#DIV/0!</v>
      </c>
      <c r="L173" s="551" t="s">
        <v>43</v>
      </c>
      <c r="M173" s="363"/>
      <c r="N173" s="363"/>
      <c r="O173" s="390" t="e">
        <f>O171*(1+O172)</f>
        <v>#DIV/0!</v>
      </c>
      <c r="P173" s="391" t="s">
        <v>43</v>
      </c>
      <c r="Q173" s="409" t="e">
        <f>Q171*(1+Q172)</f>
        <v>#DIV/0!</v>
      </c>
      <c r="R173" s="410" t="s">
        <v>43</v>
      </c>
      <c r="S173" s="422" t="e">
        <f>S171*(1+S172)</f>
        <v>#DIV/0!</v>
      </c>
      <c r="T173" s="423" t="s">
        <v>43</v>
      </c>
      <c r="U173" s="433" t="e">
        <f>U171*(1+U172)</f>
        <v>#DIV/0!</v>
      </c>
      <c r="V173" s="434" t="s">
        <v>43</v>
      </c>
      <c r="W173" s="443" t="e">
        <f>W171*(1+W172)</f>
        <v>#DIV/0!</v>
      </c>
      <c r="X173" s="364" t="s">
        <v>43</v>
      </c>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1:52" s="12" customFormat="1" ht="14.4" customHeight="1" thickBot="1" x14ac:dyDescent="0.35">
      <c r="A174" s="1"/>
      <c r="B174" s="1"/>
      <c r="C174" s="1"/>
      <c r="D174" s="209"/>
      <c r="E174" s="1"/>
      <c r="F174" s="1"/>
      <c r="G174" s="1"/>
      <c r="H174" s="1"/>
      <c r="I174" s="360"/>
      <c r="J174" s="547" t="s">
        <v>83</v>
      </c>
      <c r="K174" s="325" t="e">
        <f>K173*$I53</f>
        <v>#DIV/0!</v>
      </c>
      <c r="L174" s="552" t="s">
        <v>114</v>
      </c>
      <c r="M174" s="378"/>
      <c r="N174" s="378"/>
      <c r="O174" s="392" t="e">
        <f>O173*$I53</f>
        <v>#DIV/0!</v>
      </c>
      <c r="P174" s="393" t="s">
        <v>114</v>
      </c>
      <c r="Q174" s="411" t="e">
        <f>Q173*$I53</f>
        <v>#DIV/0!</v>
      </c>
      <c r="R174" s="412" t="s">
        <v>114</v>
      </c>
      <c r="S174" s="424" t="e">
        <f>S173*$I53</f>
        <v>#DIV/0!</v>
      </c>
      <c r="T174" s="425" t="s">
        <v>114</v>
      </c>
      <c r="U174" s="435" t="e">
        <f>U173*$I53</f>
        <v>#DIV/0!</v>
      </c>
      <c r="V174" s="436" t="s">
        <v>114</v>
      </c>
      <c r="W174" s="444" t="e">
        <f>W173*$I53</f>
        <v>#DIV/0!</v>
      </c>
      <c r="X174" s="365" t="s">
        <v>114</v>
      </c>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1:52" s="12" customFormat="1" ht="14.4" customHeight="1" thickBot="1" x14ac:dyDescent="0.35">
      <c r="A175" s="1"/>
      <c r="B175" s="1"/>
      <c r="C175" s="1"/>
      <c r="D175" s="209"/>
      <c r="E175" s="1"/>
      <c r="F175" s="1"/>
      <c r="G175" s="1"/>
      <c r="H175" s="1"/>
      <c r="I175" s="366"/>
      <c r="J175" s="548" t="s">
        <v>29</v>
      </c>
      <c r="K175" s="553" t="e">
        <f>K173*K74/2000</f>
        <v>#DIV/0!</v>
      </c>
      <c r="L175" s="554" t="s">
        <v>131</v>
      </c>
      <c r="M175" s="367"/>
      <c r="N175" s="367"/>
      <c r="O175" s="399" t="e">
        <f>O173*AK98/2000</f>
        <v>#DIV/0!</v>
      </c>
      <c r="P175" s="400" t="s">
        <v>131</v>
      </c>
      <c r="Q175" s="413" t="e">
        <f>Q173*AM98/2000</f>
        <v>#DIV/0!</v>
      </c>
      <c r="R175" s="414" t="s">
        <v>131</v>
      </c>
      <c r="S175" s="426" t="e">
        <f>S173*AO98/2000</f>
        <v>#DIV/0!</v>
      </c>
      <c r="T175" s="427" t="s">
        <v>131</v>
      </c>
      <c r="U175" s="437" t="e">
        <f>U173*AQ98/2000</f>
        <v>#DIV/0!</v>
      </c>
      <c r="V175" s="438" t="s">
        <v>131</v>
      </c>
      <c r="W175" s="445" t="e">
        <f>W173*AS98/2000</f>
        <v>#DIV/0!</v>
      </c>
      <c r="X175" s="368" t="s">
        <v>131</v>
      </c>
      <c r="Y175" s="40"/>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1:52" s="12" customFormat="1" ht="14.4" customHeight="1" thickBot="1" x14ac:dyDescent="0.35">
      <c r="A176" s="1"/>
      <c r="B176" s="1"/>
      <c r="C176" s="1"/>
      <c r="D176" s="1"/>
      <c r="E176" s="1"/>
      <c r="F176" s="1"/>
      <c r="G176" s="1"/>
      <c r="H176" s="1"/>
      <c r="I176" s="369"/>
      <c r="J176" s="549" t="s">
        <v>46</v>
      </c>
      <c r="K176" s="555" t="e">
        <f>K175*I53*2000</f>
        <v>#DIV/0!</v>
      </c>
      <c r="L176" s="556"/>
      <c r="M176" s="334"/>
      <c r="N176" s="334"/>
      <c r="O176" s="401" t="e">
        <f>O175*$I53*2000</f>
        <v>#DIV/0!</v>
      </c>
      <c r="P176" s="819"/>
      <c r="Q176" s="415" t="e">
        <f>Q175*$I53*2000</f>
        <v>#DIV/0!</v>
      </c>
      <c r="R176" s="811"/>
      <c r="S176" s="428" t="e">
        <f>S175*$I53*2000</f>
        <v>#DIV/0!</v>
      </c>
      <c r="T176" s="812"/>
      <c r="U176" s="439" t="e">
        <f>U175*$I53*2000</f>
        <v>#DIV/0!</v>
      </c>
      <c r="V176" s="815"/>
      <c r="W176" s="446" t="e">
        <f>W175*$I53*2000</f>
        <v>#DIV/0!</v>
      </c>
      <c r="X176" s="818"/>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1:52" s="12" customFormat="1" ht="14.4" customHeight="1" thickBot="1" x14ac:dyDescent="0.35">
      <c r="A177" s="1"/>
      <c r="B177" s="1"/>
      <c r="C177" s="1"/>
      <c r="D177" s="1"/>
      <c r="E177" s="1"/>
      <c r="F177" s="1"/>
      <c r="G177" s="1"/>
      <c r="H177" s="1"/>
      <c r="I177" s="1"/>
      <c r="J177" s="944"/>
      <c r="K177" s="945"/>
      <c r="L177" s="946"/>
      <c r="M177" s="38"/>
      <c r="N177" s="1104"/>
      <c r="O177" s="945"/>
      <c r="P177" s="1059"/>
      <c r="Q177" s="945"/>
      <c r="R177" s="1059"/>
      <c r="S177" s="945"/>
      <c r="T177" s="1059"/>
      <c r="U177" s="945"/>
      <c r="V177" s="1059"/>
      <c r="W177" s="945"/>
      <c r="X177" s="1059"/>
      <c r="Y177" s="38"/>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1:52" s="12" customFormat="1" ht="14.4" customHeight="1" thickBot="1" x14ac:dyDescent="0.35">
      <c r="A178" s="1"/>
      <c r="B178" s="42" t="s">
        <v>231</v>
      </c>
      <c r="C178" s="1"/>
      <c r="D178" s="1"/>
      <c r="E178" s="1"/>
      <c r="F178" s="1"/>
      <c r="G178" s="1"/>
      <c r="H178" s="1"/>
      <c r="I178" s="1"/>
      <c r="J178" s="38"/>
      <c r="K178" s="530" t="str">
        <f>K168</f>
        <v>Existing Production System</v>
      </c>
      <c r="L178" s="530"/>
      <c r="M178" s="531"/>
      <c r="N178" s="370"/>
      <c r="O178" s="1268">
        <f>O168</f>
        <v>1</v>
      </c>
      <c r="P178" s="1269"/>
      <c r="Q178" s="1270">
        <f>Q168</f>
        <v>2</v>
      </c>
      <c r="R178" s="1271"/>
      <c r="S178" s="1272">
        <f>S168</f>
        <v>3</v>
      </c>
      <c r="T178" s="1273"/>
      <c r="U178" s="1274">
        <f>U168</f>
        <v>4</v>
      </c>
      <c r="V178" s="1275"/>
      <c r="W178" s="1276">
        <f>W168</f>
        <v>5</v>
      </c>
      <c r="X178" s="1190"/>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1:52" s="12" customFormat="1" ht="14.4" customHeight="1" x14ac:dyDescent="0.3">
      <c r="A179" s="1"/>
      <c r="B179" s="1"/>
      <c r="C179" s="1"/>
      <c r="D179" s="1"/>
      <c r="G179" s="939"/>
      <c r="H179" s="940" t="e">
        <f>K176+K166+K145</f>
        <v>#DIV/0!</v>
      </c>
      <c r="J179" s="966"/>
      <c r="K179" s="966"/>
      <c r="L179" s="967"/>
      <c r="M179" s="968"/>
      <c r="N179" s="1096" t="s">
        <v>290</v>
      </c>
      <c r="O179" s="447" t="e">
        <f>O176+O166+O145</f>
        <v>#DIV/0!</v>
      </c>
      <c r="P179" s="709"/>
      <c r="Q179" s="449" t="e">
        <f>Q176+Q166+Q145</f>
        <v>#DIV/0!</v>
      </c>
      <c r="R179" s="1068"/>
      <c r="S179" s="451" t="e">
        <f>S176+S166+S145</f>
        <v>#DIV/0!</v>
      </c>
      <c r="T179" s="1075"/>
      <c r="U179" s="453" t="e">
        <f>U176+U166+U145</f>
        <v>#DIV/0!</v>
      </c>
      <c r="V179" s="1085"/>
      <c r="W179" s="455" t="e">
        <f>W176+W166+W145</f>
        <v>#DIV/0!</v>
      </c>
      <c r="X179" s="1094"/>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1:52" s="12" customFormat="1" ht="14.4" customHeight="1" thickBot="1" x14ac:dyDescent="0.35">
      <c r="A180" s="1"/>
      <c r="B180" s="1"/>
      <c r="C180" s="1"/>
      <c r="D180" s="1"/>
      <c r="G180" s="939"/>
      <c r="H180" s="940" t="e">
        <f>H179/K58</f>
        <v>#DIV/0!</v>
      </c>
      <c r="J180" s="966"/>
      <c r="K180" s="966"/>
      <c r="L180" s="969"/>
      <c r="M180" s="970"/>
      <c r="N180" s="1096" t="s">
        <v>278</v>
      </c>
      <c r="O180" s="448" t="e">
        <f>O179/AK98</f>
        <v>#DIV/0!</v>
      </c>
      <c r="P180" s="1097" t="s">
        <v>114</v>
      </c>
      <c r="Q180" s="450" t="e">
        <f>Q179/AM98</f>
        <v>#DIV/0!</v>
      </c>
      <c r="R180" s="927" t="s">
        <v>114</v>
      </c>
      <c r="S180" s="452" t="e">
        <f>S179/AO98</f>
        <v>#DIV/0!</v>
      </c>
      <c r="T180" s="928" t="s">
        <v>114</v>
      </c>
      <c r="U180" s="454" t="e">
        <f>U179/AQ98</f>
        <v>#DIV/0!</v>
      </c>
      <c r="V180" s="929" t="s">
        <v>114</v>
      </c>
      <c r="W180" s="456" t="e">
        <f>W179/AS98</f>
        <v>#DIV/0!</v>
      </c>
      <c r="X180" s="930" t="s">
        <v>114</v>
      </c>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1:52" s="12" customFormat="1" ht="16.05" customHeight="1" thickBot="1" x14ac:dyDescent="0.35">
      <c r="A181" s="1"/>
      <c r="B181" s="1"/>
      <c r="C181" s="1"/>
      <c r="D181" s="1"/>
      <c r="J181" s="938"/>
      <c r="K181" s="937"/>
      <c r="L181" s="937"/>
      <c r="M181" s="937"/>
      <c r="N181" s="1095" t="s">
        <v>277</v>
      </c>
      <c r="O181" s="1099" t="e">
        <f>O179/O102</f>
        <v>#DIV/0!</v>
      </c>
      <c r="P181" s="1103" t="s">
        <v>114</v>
      </c>
      <c r="Q181" s="1101" t="e">
        <f>Q179/Q102</f>
        <v>#DIV/0!</v>
      </c>
      <c r="R181" s="1100" t="s">
        <v>114</v>
      </c>
      <c r="S181" s="971" t="e">
        <f>S179/S102</f>
        <v>#DIV/0!</v>
      </c>
      <c r="T181" s="924" t="s">
        <v>114</v>
      </c>
      <c r="U181" s="972" t="e">
        <f>U179/U102</f>
        <v>#DIV/0!</v>
      </c>
      <c r="V181" s="925" t="s">
        <v>114</v>
      </c>
      <c r="W181" s="973" t="e">
        <f>W179/W102</f>
        <v>#DIV/0!</v>
      </c>
      <c r="X181" s="926" t="s">
        <v>114</v>
      </c>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1:52" s="12" customFormat="1" ht="16.05" customHeight="1" thickBot="1" x14ac:dyDescent="0.35">
      <c r="A182" s="1"/>
      <c r="B182" s="1"/>
      <c r="C182" s="1"/>
      <c r="D182" s="1"/>
      <c r="G182" s="933"/>
      <c r="H182" s="933"/>
      <c r="I182" s="934"/>
      <c r="J182" s="935" t="s">
        <v>292</v>
      </c>
      <c r="K182" s="941" t="e">
        <f>H179/K61</f>
        <v>#DIV/0!</v>
      </c>
      <c r="L182" s="936" t="s">
        <v>114</v>
      </c>
      <c r="M182" s="1110"/>
      <c r="N182" s="1110"/>
      <c r="O182" s="1105" t="e">
        <f>O181+$K146</f>
        <v>#DIV/0!</v>
      </c>
      <c r="P182" s="1106" t="s">
        <v>114</v>
      </c>
      <c r="Q182" s="1105" t="e">
        <f>Q181+$K146</f>
        <v>#DIV/0!</v>
      </c>
      <c r="R182" s="1107" t="s">
        <v>114</v>
      </c>
      <c r="S182" s="1108" t="e">
        <f>S181+$K146</f>
        <v>#DIV/0!</v>
      </c>
      <c r="T182" s="1109" t="s">
        <v>114</v>
      </c>
      <c r="U182" s="1108" t="e">
        <f>U181+$K146</f>
        <v>#DIV/0!</v>
      </c>
      <c r="V182" s="1109" t="s">
        <v>114</v>
      </c>
      <c r="W182" s="1108" t="e">
        <f>W181+$K146</f>
        <v>#DIV/0!</v>
      </c>
      <c r="X182" s="1109" t="s">
        <v>114</v>
      </c>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1:52" s="12" customFormat="1" ht="16.05" customHeight="1" thickBot="1" x14ac:dyDescent="0.35">
      <c r="A183" s="1"/>
      <c r="B183" s="1"/>
      <c r="C183" s="1"/>
      <c r="D183" s="1"/>
      <c r="G183" s="931"/>
      <c r="H183" s="932"/>
      <c r="I183" s="932"/>
      <c r="J183" s="932"/>
      <c r="K183" s="932"/>
      <c r="L183" s="932"/>
      <c r="M183" s="932"/>
      <c r="N183" s="1116" t="s">
        <v>279</v>
      </c>
      <c r="O183" s="1115" t="e">
        <f>O182-K182</f>
        <v>#DIV/0!</v>
      </c>
      <c r="P183" s="1098" t="s">
        <v>114</v>
      </c>
      <c r="Q183" s="1101" t="e">
        <f>Q182-K182</f>
        <v>#DIV/0!</v>
      </c>
      <c r="R183" s="1100" t="s">
        <v>114</v>
      </c>
      <c r="S183" s="1102" t="e">
        <f>S182-K182</f>
        <v>#DIV/0!</v>
      </c>
      <c r="T183" s="924" t="s">
        <v>114</v>
      </c>
      <c r="U183" s="972" t="e">
        <f>U182-K182</f>
        <v>#DIV/0!</v>
      </c>
      <c r="V183" s="925" t="s">
        <v>114</v>
      </c>
      <c r="W183" s="973" t="e">
        <f>W182-K182</f>
        <v>#DIV/0!</v>
      </c>
      <c r="X183" s="926" t="s">
        <v>114</v>
      </c>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1:52" s="12" customFormat="1" ht="14.4" customHeight="1" x14ac:dyDescent="0.3">
      <c r="A184" s="1"/>
      <c r="B184" s="1"/>
      <c r="C184" s="1"/>
      <c r="D184" s="1"/>
      <c r="E184" s="1"/>
      <c r="F184" s="1" t="s">
        <v>293</v>
      </c>
      <c r="G184" s="1"/>
      <c r="H184" s="1"/>
      <c r="K184" s="1"/>
      <c r="L184" s="1"/>
      <c r="M184" s="1"/>
      <c r="N184" s="1"/>
      <c r="O184" s="213"/>
      <c r="P184" s="213"/>
      <c r="Q184" s="213"/>
      <c r="R184" s="213"/>
      <c r="S184" s="1118">
        <f>K146</f>
        <v>0</v>
      </c>
      <c r="T184" s="1"/>
      <c r="U184" s="1"/>
      <c r="V184" s="1"/>
      <c r="W184" s="1"/>
      <c r="X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1:52" s="12" customFormat="1" ht="14.4" customHeight="1" x14ac:dyDescent="0.3">
      <c r="A185" s="1"/>
      <c r="B185" s="1"/>
      <c r="C185" s="1"/>
      <c r="D185" s="1"/>
      <c r="E185" s="1"/>
      <c r="T185" s="1117"/>
      <c r="V185" s="213"/>
      <c r="W185" s="213"/>
      <c r="X185" s="213"/>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1:52" s="12" customFormat="1" ht="18" x14ac:dyDescent="0.3">
      <c r="A186" s="1"/>
      <c r="B186" s="1"/>
      <c r="C186" s="1"/>
      <c r="D186" s="1"/>
      <c r="E186" s="1"/>
      <c r="F186" s="1"/>
      <c r="G186" s="40"/>
      <c r="H186" s="40"/>
      <c r="I186" s="40"/>
      <c r="J186" s="1232"/>
      <c r="K186" s="1266"/>
      <c r="L186" s="1232"/>
      <c r="M186" s="1231"/>
      <c r="N186" s="1267" t="s">
        <v>299</v>
      </c>
      <c r="O186" s="1241" t="e">
        <f>O137</f>
        <v>#DIV/0!</v>
      </c>
      <c r="P186" s="1242"/>
      <c r="Q186" s="1243" t="e">
        <f>Q137</f>
        <v>#DIV/0!</v>
      </c>
      <c r="R186" s="1244"/>
      <c r="S186" s="1245" t="e">
        <f>S137</f>
        <v>#DIV/0!</v>
      </c>
      <c r="T186" s="1246"/>
      <c r="U186" s="1247" t="e">
        <f>U137</f>
        <v>#DIV/0!</v>
      </c>
      <c r="V186" s="1248"/>
      <c r="W186" s="1249" t="e">
        <f>W137</f>
        <v>#DIV/0!</v>
      </c>
      <c r="X186" s="1250"/>
      <c r="Y186" s="37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1:52" s="12" customFormat="1" ht="15.6" x14ac:dyDescent="0.3">
      <c r="A187" s="1"/>
      <c r="B187" s="1"/>
      <c r="C187" s="1"/>
      <c r="D187" s="1"/>
      <c r="E187" s="1"/>
      <c r="F187" s="1"/>
      <c r="G187" s="40"/>
      <c r="H187" s="40"/>
      <c r="I187" s="40"/>
      <c r="J187" s="1230" t="s">
        <v>296</v>
      </c>
      <c r="K187" s="1233"/>
      <c r="L187" s="1229"/>
      <c r="M187" s="1229"/>
      <c r="N187" s="1230" t="s">
        <v>298</v>
      </c>
      <c r="O187" s="1241" t="e">
        <f>PMT($K188,$K187,O186,0,0)*-1</f>
        <v>#DIV/0!</v>
      </c>
      <c r="P187" s="1242"/>
      <c r="Q187" s="1243" t="e">
        <f>PMT($K188,$K187,Q186,0,0)*-1</f>
        <v>#DIV/0!</v>
      </c>
      <c r="R187" s="1244"/>
      <c r="S187" s="1245" t="e">
        <f>PMT($K188,$K187,S186,0,0)*-1</f>
        <v>#DIV/0!</v>
      </c>
      <c r="T187" s="1246"/>
      <c r="U187" s="1247" t="e">
        <f>PMT($K188,$K187,U186,0,0)*-1</f>
        <v>#DIV/0!</v>
      </c>
      <c r="V187" s="1248"/>
      <c r="W187" s="1249" t="e">
        <f>PMT($K188,$K187,W186,0,0)*-1</f>
        <v>#DIV/0!</v>
      </c>
      <c r="X187" s="1250"/>
      <c r="Y187" s="37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1:52" s="12" customFormat="1" ht="18" x14ac:dyDescent="0.3">
      <c r="A188" s="1"/>
      <c r="B188" s="1"/>
      <c r="C188" s="1"/>
      <c r="D188" s="1"/>
      <c r="E188" s="1"/>
      <c r="F188" s="1"/>
      <c r="G188" s="40"/>
      <c r="H188" s="40"/>
      <c r="I188" s="40"/>
      <c r="J188" s="1234" t="s">
        <v>297</v>
      </c>
      <c r="K188" s="1235"/>
      <c r="L188" s="1229"/>
      <c r="M188" s="1229"/>
      <c r="N188" s="1230" t="s">
        <v>280</v>
      </c>
      <c r="O188" s="1251" t="e">
        <f>O187/O102</f>
        <v>#DIV/0!</v>
      </c>
      <c r="P188" s="1236" t="s">
        <v>114</v>
      </c>
      <c r="Q188" s="1252" t="e">
        <f>Q187/Q102</f>
        <v>#DIV/0!</v>
      </c>
      <c r="R188" s="1237" t="s">
        <v>114</v>
      </c>
      <c r="S188" s="1253" t="e">
        <f>S187/S102</f>
        <v>#DIV/0!</v>
      </c>
      <c r="T188" s="1238" t="s">
        <v>114</v>
      </c>
      <c r="U188" s="1254" t="e">
        <f>U187/U102</f>
        <v>#DIV/0!</v>
      </c>
      <c r="V188" s="1239" t="s">
        <v>114</v>
      </c>
      <c r="W188" s="1255" t="e">
        <f>W187/W102</f>
        <v>#DIV/0!</v>
      </c>
      <c r="X188" s="1240" t="s">
        <v>114</v>
      </c>
      <c r="Y188" s="37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1:52" s="12" customFormat="1" ht="15.6" x14ac:dyDescent="0.3">
      <c r="M189" s="373"/>
      <c r="N189" s="1"/>
      <c r="AH189" s="1"/>
      <c r="AI189" s="1"/>
      <c r="AJ189" s="1"/>
      <c r="AK189" s="1"/>
      <c r="AL189" s="1"/>
      <c r="AM189" s="1"/>
      <c r="AN189" s="1"/>
      <c r="AO189" s="1"/>
      <c r="AP189" s="1"/>
      <c r="AQ189" s="1"/>
      <c r="AR189" s="1"/>
      <c r="AS189" s="1"/>
      <c r="AT189" s="1"/>
    </row>
    <row r="190" spans="1:52" s="12" customFormat="1" ht="15.6" x14ac:dyDescent="0.3">
      <c r="M190" s="374"/>
      <c r="AH190" s="1"/>
      <c r="AI190" s="1"/>
      <c r="AJ190" s="1"/>
      <c r="AK190" s="1"/>
      <c r="AL190" s="1"/>
      <c r="AM190" s="1"/>
      <c r="AN190" s="1"/>
      <c r="AO190" s="1"/>
      <c r="AP190" s="1"/>
      <c r="AQ190" s="1"/>
      <c r="AR190" s="1"/>
      <c r="AS190" s="1"/>
      <c r="AT190" s="1"/>
    </row>
    <row r="191" spans="1:52" s="12" customFormat="1" x14ac:dyDescent="0.3">
      <c r="M191" s="375"/>
    </row>
    <row r="192" spans="1:52" s="12" customFormat="1" ht="15.6" x14ac:dyDescent="0.3">
      <c r="M192" s="211"/>
      <c r="N192" s="1"/>
    </row>
    <row r="193" spans="13:14" s="12" customFormat="1" ht="15.6" x14ac:dyDescent="0.3">
      <c r="M193" s="373"/>
      <c r="N193" s="1"/>
    </row>
    <row r="194" spans="13:14" s="12" customFormat="1" x14ac:dyDescent="0.3"/>
    <row r="195" spans="13:14" s="12" customFormat="1" x14ac:dyDescent="0.3"/>
    <row r="196" spans="13:14" s="12" customFormat="1" x14ac:dyDescent="0.3"/>
    <row r="197" spans="13:14" s="12" customFormat="1" x14ac:dyDescent="0.3"/>
    <row r="198" spans="13:14" s="12" customFormat="1" x14ac:dyDescent="0.3"/>
    <row r="199" spans="13:14" s="12" customFormat="1" x14ac:dyDescent="0.3"/>
    <row r="200" spans="13:14" s="12" customFormat="1" x14ac:dyDescent="0.3"/>
  </sheetData>
  <mergeCells count="20">
    <mergeCell ref="H122:J122"/>
    <mergeCell ref="I17:K17"/>
    <mergeCell ref="I18:K18"/>
    <mergeCell ref="O56:P56"/>
    <mergeCell ref="H116:J116"/>
    <mergeCell ref="Q56:R56"/>
    <mergeCell ref="W56:X56"/>
    <mergeCell ref="E89:I89"/>
    <mergeCell ref="E90:I91"/>
    <mergeCell ref="J92:S92"/>
    <mergeCell ref="S56:T56"/>
    <mergeCell ref="U56:V56"/>
    <mergeCell ref="G164:I164"/>
    <mergeCell ref="H123:J123"/>
    <mergeCell ref="H124:J124"/>
    <mergeCell ref="H129:J129"/>
    <mergeCell ref="H130:J130"/>
    <mergeCell ref="H132:J132"/>
    <mergeCell ref="G163:I163"/>
    <mergeCell ref="I146:J146"/>
  </mergeCells>
  <pageMargins left="0.25" right="0.25" top="0.5" bottom="0.5" header="0.3" footer="0.3"/>
  <pageSetup scale="75" fitToHeight="0" orientation="landscape" horizontalDpi="1200" verticalDpi="1200" r:id="rId1"/>
  <rowBreaks count="4" manualBreakCount="4">
    <brk id="40" max="23" man="1"/>
    <brk id="87" max="23" man="1"/>
    <brk id="133" max="23" man="1"/>
    <brk id="177"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List Box 1">
              <controlPr locked="0" defaultSize="0" autoLine="0" autoPict="0">
                <anchor moveWithCells="1">
                  <from>
                    <xdr:col>9</xdr:col>
                    <xdr:colOff>7620</xdr:colOff>
                    <xdr:row>88</xdr:row>
                    <xdr:rowOff>0</xdr:rowOff>
                  </from>
                  <to>
                    <xdr:col>14</xdr:col>
                    <xdr:colOff>7620</xdr:colOff>
                    <xdr:row>91</xdr:row>
                    <xdr:rowOff>7620</xdr:rowOff>
                  </to>
                </anchor>
              </controlPr>
            </control>
          </mc:Choice>
        </mc:AlternateContent>
        <mc:AlternateContent xmlns:mc="http://schemas.openxmlformats.org/markup-compatibility/2006">
          <mc:Choice Requires="x14">
            <control shapeId="13314" r:id="rId5" name="Check Box 2">
              <controlPr locked="0" defaultSize="0" autoFill="0" autoLine="0" autoPict="0" altText="YES">
                <anchor moveWithCells="1">
                  <from>
                    <xdr:col>4</xdr:col>
                    <xdr:colOff>182880</xdr:colOff>
                    <xdr:row>94</xdr:row>
                    <xdr:rowOff>0</xdr:rowOff>
                  </from>
                  <to>
                    <xdr:col>4</xdr:col>
                    <xdr:colOff>609600</xdr:colOff>
                    <xdr:row>95</xdr:row>
                    <xdr:rowOff>7620</xdr:rowOff>
                  </to>
                </anchor>
              </controlPr>
            </control>
          </mc:Choice>
        </mc:AlternateContent>
        <mc:AlternateContent xmlns:mc="http://schemas.openxmlformats.org/markup-compatibility/2006">
          <mc:Choice Requires="x14">
            <control shapeId="13315" r:id="rId6" name="Check Box 3">
              <controlPr locked="0" defaultSize="0" autoFill="0" autoLine="0" autoPict="0" altText="YES">
                <anchor moveWithCells="1">
                  <from>
                    <xdr:col>4</xdr:col>
                    <xdr:colOff>182880</xdr:colOff>
                    <xdr:row>95</xdr:row>
                    <xdr:rowOff>0</xdr:rowOff>
                  </from>
                  <to>
                    <xdr:col>4</xdr:col>
                    <xdr:colOff>609600</xdr:colOff>
                    <xdr:row>96</xdr:row>
                    <xdr:rowOff>7620</xdr:rowOff>
                  </to>
                </anchor>
              </controlPr>
            </control>
          </mc:Choice>
        </mc:AlternateContent>
        <mc:AlternateContent xmlns:mc="http://schemas.openxmlformats.org/markup-compatibility/2006">
          <mc:Choice Requires="x14">
            <control shapeId="13316" r:id="rId7" name="Check Box 4">
              <controlPr locked="0" defaultSize="0" autoFill="0" autoLine="0" autoPict="0" altText="YES">
                <anchor moveWithCells="1">
                  <from>
                    <xdr:col>4</xdr:col>
                    <xdr:colOff>182880</xdr:colOff>
                    <xdr:row>96</xdr:row>
                    <xdr:rowOff>22860</xdr:rowOff>
                  </from>
                  <to>
                    <xdr:col>4</xdr:col>
                    <xdr:colOff>609600</xdr:colOff>
                    <xdr:row>97</xdr:row>
                    <xdr:rowOff>30480</xdr:rowOff>
                  </to>
                </anchor>
              </controlPr>
            </control>
          </mc:Choice>
        </mc:AlternateContent>
        <mc:AlternateContent xmlns:mc="http://schemas.openxmlformats.org/markup-compatibility/2006">
          <mc:Choice Requires="x14">
            <control shapeId="13317" r:id="rId8" name="Check Box 5">
              <controlPr locked="0" defaultSize="0" autoFill="0" autoLine="0" autoPict="0" altText="Use Farm Ration Cost per pound_x000a_">
                <anchor moveWithCells="1">
                  <from>
                    <xdr:col>8</xdr:col>
                    <xdr:colOff>15240</xdr:colOff>
                    <xdr:row>50</xdr:row>
                    <xdr:rowOff>38100</xdr:rowOff>
                  </from>
                  <to>
                    <xdr:col>9</xdr:col>
                    <xdr:colOff>1051560</xdr:colOff>
                    <xdr:row>51</xdr:row>
                    <xdr:rowOff>129540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29</vt:i4>
      </vt:variant>
    </vt:vector>
  </HeadingPairs>
  <TitlesOfParts>
    <vt:vector size="35" baseType="lpstr">
      <vt:lpstr>User Manual</vt:lpstr>
      <vt:lpstr>Beginning Version</vt:lpstr>
      <vt:lpstr>Advanced Version</vt:lpstr>
      <vt:lpstr>Beginning Ver. Blank InPut Form</vt:lpstr>
      <vt:lpstr>Advanced Ver. Blank Input Form</vt:lpstr>
      <vt:lpstr>Sheet1</vt:lpstr>
      <vt:lpstr>'User Manual'!id.10kb73la65a8</vt:lpstr>
      <vt:lpstr>'User Manual'!id.1ghrs1uxyopw</vt:lpstr>
      <vt:lpstr>'User Manual'!id.1yjn4nhml685</vt:lpstr>
      <vt:lpstr>'User Manual'!id.38rxceleq5sf</vt:lpstr>
      <vt:lpstr>'User Manual'!id.5kv17zag53nh</vt:lpstr>
      <vt:lpstr>'User Manual'!id.7zy8lvpuvnz7</vt:lpstr>
      <vt:lpstr>'User Manual'!id.8qcfsj2hldhb</vt:lpstr>
      <vt:lpstr>'User Manual'!id.9oozigi4mx1c</vt:lpstr>
      <vt:lpstr>'User Manual'!id.dg8ku228oirp</vt:lpstr>
      <vt:lpstr>'User Manual'!id.gjzfwqjhe1vl</vt:lpstr>
      <vt:lpstr>'User Manual'!id.ig0gsghzvvyc</vt:lpstr>
      <vt:lpstr>'User Manual'!id.j7io2as0u2gw</vt:lpstr>
      <vt:lpstr>'User Manual'!id.jq423x29qxmq</vt:lpstr>
      <vt:lpstr>'User Manual'!id.julmtp6zv6b6</vt:lpstr>
      <vt:lpstr>'User Manual'!id.ksmcnu7eb5wu</vt:lpstr>
      <vt:lpstr>'User Manual'!id.okb7dyh6160l</vt:lpstr>
      <vt:lpstr>'User Manual'!id.p8fpjgf38soc</vt:lpstr>
      <vt:lpstr>'User Manual'!id.s1bdcknqvv50</vt:lpstr>
      <vt:lpstr>'User Manual'!id.uyn7xqlargig</vt:lpstr>
      <vt:lpstr>'User Manual'!id.v6z2p3dmo5y7</vt:lpstr>
      <vt:lpstr>'User Manual'!id.vgyxl7bezk9s</vt:lpstr>
      <vt:lpstr>'User Manual'!id.w1q0h1d8nb5w</vt:lpstr>
      <vt:lpstr>'User Manual'!id.xlfd5ch6skei</vt:lpstr>
      <vt:lpstr>'User Manual'!kix.2ko78jwzdbwq</vt:lpstr>
      <vt:lpstr>'User Manual'!kix.rxso9wpcqrb1</vt:lpstr>
      <vt:lpstr>'Advanced Ver. Blank Input Form'!Print_Area</vt:lpstr>
      <vt:lpstr>'Advanced Version'!Print_Area</vt:lpstr>
      <vt:lpstr>'Beginning Ver. Blank InPut Form'!Print_Area</vt:lpstr>
      <vt:lpstr>'Beginning Version'!Print_Area</vt:lpstr>
    </vt:vector>
  </TitlesOfParts>
  <Company>CANR-MSUE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betz</dc:creator>
  <cp:lastModifiedBy>betz</cp:lastModifiedBy>
  <cp:lastPrinted>2016-01-27T04:46:09Z</cp:lastPrinted>
  <dcterms:created xsi:type="dcterms:W3CDTF">2013-01-04T01:33:17Z</dcterms:created>
  <dcterms:modified xsi:type="dcterms:W3CDTF">2016-02-29T03:33:51Z</dcterms:modified>
</cp:coreProperties>
</file>